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Walther\Internet\Gasnetz\Netzzugang Erdgas\"/>
    </mc:Choice>
  </mc:AlternateContent>
  <bookViews>
    <workbookView xWindow="240" yWindow="855" windowWidth="15600" windowHeight="6690" tabRatio="789" activeTab="6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 iterate="1" calcOnSave="0"/>
</workbook>
</file>

<file path=xl/calcChain.xml><?xml version="1.0" encoding="utf-8"?>
<calcChain xmlns="http://schemas.openxmlformats.org/spreadsheetml/2006/main">
  <c r="W13" i="7" l="1"/>
  <c r="V13" i="7"/>
  <c r="U13" i="7"/>
  <c r="T13" i="7"/>
  <c r="S13" i="7"/>
  <c r="R13" i="7"/>
  <c r="W12" i="7"/>
  <c r="V12" i="7"/>
  <c r="U12" i="7"/>
  <c r="T12" i="7"/>
  <c r="S12" i="7"/>
  <c r="R12" i="7"/>
  <c r="X13" i="7" l="1"/>
  <c r="X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E63" i="18"/>
  <c r="D32" i="18"/>
  <c r="H31" i="18" s="1"/>
  <c r="G63" i="18"/>
  <c r="J63" i="18"/>
  <c r="F53" i="18"/>
  <c r="M63" i="18"/>
  <c r="I53" i="18"/>
  <c r="N53" i="18"/>
  <c r="E53" i="18"/>
  <c r="J53" i="18"/>
  <c r="F63" i="18"/>
  <c r="K63" i="18"/>
  <c r="D22" i="18"/>
  <c r="F21" i="18" s="1"/>
  <c r="G53" i="18"/>
  <c r="M53" i="18"/>
  <c r="I63" i="18"/>
  <c r="N63" i="18"/>
  <c r="N21" i="18"/>
  <c r="J21" i="18"/>
  <c r="I21" i="18"/>
  <c r="L21" i="18"/>
  <c r="G21" i="18"/>
  <c r="L31" i="18"/>
  <c r="G31" i="18"/>
  <c r="N31" i="18"/>
  <c r="M31" i="18"/>
  <c r="I31" i="18"/>
  <c r="H53" i="18"/>
  <c r="H63" i="18"/>
  <c r="D24" i="15"/>
  <c r="C23" i="15"/>
  <c r="F31" i="18" l="1"/>
  <c r="K31" i="18"/>
  <c r="K21" i="18"/>
  <c r="E21" i="18" s="1"/>
  <c r="M21" i="18"/>
  <c r="J31" i="18"/>
  <c r="H21" i="18"/>
  <c r="D56" i="18"/>
  <c r="J55" i="18" s="1"/>
  <c r="E31" i="18"/>
  <c r="D66" i="18"/>
  <c r="K65" i="18" s="1"/>
  <c r="M65" i="18"/>
  <c r="K55" i="18"/>
  <c r="F55" i="18"/>
  <c r="H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55" i="18" l="1"/>
  <c r="L65" i="18"/>
  <c r="M55" i="18"/>
  <c r="G55" i="18"/>
  <c r="E55" i="18" s="1"/>
  <c r="I65" i="18"/>
  <c r="N65" i="18"/>
  <c r="H65" i="18"/>
  <c r="G6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5" i="7"/>
  <c r="S25" i="7"/>
  <c r="T25" i="7"/>
  <c r="U25" i="7"/>
  <c r="V25" i="7"/>
  <c r="W25" i="7"/>
  <c r="E65" i="18" l="1"/>
  <c r="X21" i="7"/>
  <c r="X25" i="7"/>
  <c r="X11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W24" i="7" s="1"/>
  <c r="H21" i="4"/>
  <c r="V24" i="7" s="1"/>
  <c r="G21" i="4"/>
  <c r="U24" i="7" s="1"/>
  <c r="F21" i="4"/>
  <c r="T24" i="7" s="1"/>
  <c r="E21" i="4"/>
  <c r="S24" i="7" s="1"/>
  <c r="D21" i="4"/>
  <c r="R24" i="7" s="1"/>
  <c r="X24" i="7" s="1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13" i="7" l="1"/>
  <c r="N13" i="7"/>
  <c r="J13" i="7"/>
  <c r="M12" i="7"/>
  <c r="I12" i="7"/>
  <c r="I24" i="7"/>
  <c r="M24" i="7"/>
  <c r="J12" i="7"/>
  <c r="L24" i="7"/>
  <c r="M13" i="7"/>
  <c r="I13" i="7"/>
  <c r="P12" i="7"/>
  <c r="L12" i="7"/>
  <c r="H12" i="7"/>
  <c r="J24" i="7"/>
  <c r="N24" i="7"/>
  <c r="N12" i="7"/>
  <c r="H24" i="7"/>
  <c r="P24" i="7"/>
  <c r="P13" i="7"/>
  <c r="L13" i="7"/>
  <c r="H13" i="7"/>
  <c r="O12" i="7"/>
  <c r="K12" i="7"/>
  <c r="F24" i="7"/>
  <c r="K24" i="7"/>
  <c r="O24" i="7"/>
  <c r="O13" i="7"/>
  <c r="K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K25" i="7"/>
  <c r="O25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M25" i="7"/>
  <c r="P11" i="7"/>
  <c r="I14" i="7"/>
  <c r="H15" i="7"/>
  <c r="P15" i="7"/>
  <c r="O16" i="7"/>
  <c r="N17" i="7"/>
  <c r="M18" i="7"/>
  <c r="L19" i="7"/>
  <c r="K20" i="7"/>
  <c r="J21" i="7"/>
  <c r="I22" i="7"/>
  <c r="H23" i="7"/>
  <c r="P23" i="7"/>
  <c r="N25" i="7"/>
  <c r="M11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H25" i="7"/>
  <c r="L25" i="7"/>
  <c r="P25" i="7"/>
  <c r="O11" i="7"/>
  <c r="J11" i="7"/>
  <c r="H14" i="7"/>
  <c r="P14" i="7"/>
  <c r="O15" i="7"/>
  <c r="J16" i="7"/>
  <c r="I17" i="7"/>
  <c r="H18" i="7"/>
  <c r="P18" i="7"/>
  <c r="O19" i="7"/>
  <c r="N20" i="7"/>
  <c r="M21" i="7"/>
  <c r="L22" i="7"/>
  <c r="K23" i="7"/>
  <c r="I25" i="7"/>
  <c r="K11" i="7"/>
  <c r="M14" i="7"/>
  <c r="L15" i="7"/>
  <c r="K16" i="7"/>
  <c r="J17" i="7"/>
  <c r="I18" i="7"/>
  <c r="H19" i="7"/>
  <c r="P19" i="7"/>
  <c r="O20" i="7"/>
  <c r="N21" i="7"/>
  <c r="M22" i="7"/>
  <c r="L23" i="7"/>
  <c r="J25" i="7"/>
  <c r="I11" i="7"/>
  <c r="F25" i="7"/>
  <c r="F23" i="7"/>
  <c r="F21" i="7"/>
  <c r="F19" i="7"/>
  <c r="F17" i="7"/>
  <c r="F15" i="7"/>
  <c r="F22" i="7"/>
  <c r="F20" i="7"/>
  <c r="F18" i="7"/>
  <c r="F16" i="7"/>
  <c r="F14" i="7"/>
  <c r="F11" i="7"/>
  <c r="M8" i="4"/>
  <c r="M7" i="4"/>
  <c r="D6" i="15"/>
  <c r="D6" i="7"/>
  <c r="Q13" i="7" l="1"/>
  <c r="Q24" i="7"/>
  <c r="Q12" i="7"/>
  <c r="Q18" i="7"/>
  <c r="Q15" i="7"/>
  <c r="Q11" i="7"/>
  <c r="Q20" i="7"/>
  <c r="Q25" i="7"/>
  <c r="Q16" i="7"/>
  <c r="Q21" i="7"/>
  <c r="Q22" i="7"/>
  <c r="Q19" i="7"/>
  <c r="Q14" i="7"/>
  <c r="Q17" i="7"/>
  <c r="Q23" i="7"/>
  <c r="C20" i="7"/>
  <c r="C14" i="7"/>
  <c r="C12" i="7"/>
  <c r="C19" i="7"/>
  <c r="C16" i="7"/>
  <c r="C25" i="7"/>
  <c r="C15" i="7"/>
  <c r="C17" i="7"/>
  <c r="C22" i="7"/>
  <c r="C13" i="7"/>
  <c r="C23" i="7"/>
  <c r="C18" i="7"/>
  <c r="C21" i="7"/>
  <c r="C24" i="7"/>
</calcChain>
</file>

<file path=xl/sharedStrings.xml><?xml version="1.0" encoding="utf-8"?>
<sst xmlns="http://schemas.openxmlformats.org/spreadsheetml/2006/main" count="1374" uniqueCount="678">
  <si>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</si>
  <si>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</si>
  <si>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</si>
  <si>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</si>
  <si>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</si>
  <si>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</si>
  <si>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</si>
  <si>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</si>
  <si>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</si>
  <si>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</si>
  <si>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</si>
  <si>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</si>
  <si>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</si>
  <si>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</si>
  <si>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</si>
  <si>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</si>
  <si>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</si>
  <si>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</si>
  <si>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</si>
  <si>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</si>
  <si>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</si>
  <si>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</si>
  <si>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</si>
  <si>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</si>
  <si>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</si>
  <si>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</si>
  <si>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</si>
  <si>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</si>
  <si>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</si>
  <si>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</si>
  <si>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</si>
  <si>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</si>
  <si>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</si>
  <si>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</si>
  <si>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</si>
  <si>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</si>
  <si>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</si>
  <si>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</si>
  <si>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</si>
  <si>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</si>
  <si>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</si>
  <si>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</si>
  <si>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</si>
  <si>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</si>
  <si>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</si>
  <si>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</si>
  <si>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</si>
  <si>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</si>
  <si>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</si>
  <si>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</si>
  <si>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</si>
  <si>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</si>
  <si>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</si>
  <si>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</si>
  <si>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</si>
  <si>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</si>
  <si>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</si>
  <si>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</si>
  <si>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</si>
  <si>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</si>
  <si>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</si>
  <si>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</si>
  <si>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</si>
  <si>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</si>
  <si>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</si>
  <si>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</si>
  <si>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</si>
  <si>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</si>
  <si>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</si>
  <si>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</si>
  <si>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</si>
  <si>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</si>
  <si>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</si>
  <si>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</si>
  <si>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</si>
  <si>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</si>
  <si>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</si>
  <si>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</si>
  <si>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</si>
  <si>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</si>
  <si>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</si>
  <si>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</si>
  <si>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</si>
  <si>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</si>
  <si>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</si>
  <si>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</si>
  <si>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</si>
  <si>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</si>
  <si>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</si>
  <si>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</si>
  <si>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</si>
  <si>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</si>
  <si>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</si>
  <si>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</si>
  <si>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</si>
  <si>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</si>
  <si>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</si>
  <si>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</si>
  <si>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</si>
  <si>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</si>
  <si>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</si>
  <si>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</si>
  <si>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</si>
  <si>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</si>
  <si>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</si>
  <si>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</si>
  <si>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</si>
  <si>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</si>
  <si>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</si>
  <si>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</si>
  <si>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</si>
  <si>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</si>
  <si>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</si>
  <si>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</si>
  <si>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</si>
  <si>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</si>
  <si>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</si>
  <si>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</si>
  <si>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</si>
  <si>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</si>
  <si>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</si>
  <si>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</si>
  <si>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</si>
  <si>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</si>
  <si>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</si>
  <si>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</si>
  <si>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</si>
  <si>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</si>
  <si>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</si>
  <si>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</si>
  <si>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</si>
  <si>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</si>
  <si>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</si>
  <si>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</si>
  <si>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</si>
  <si>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</si>
  <si>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</si>
  <si>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</si>
  <si>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</si>
  <si>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</si>
  <si>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</si>
  <si>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</si>
  <si>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</si>
  <si>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</si>
  <si>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</si>
  <si>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</si>
  <si>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</si>
  <si>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</si>
  <si>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</si>
  <si>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</si>
  <si>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</si>
  <si>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</si>
  <si>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</si>
  <si>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</si>
  <si>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</si>
  <si>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</si>
  <si>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</si>
  <si>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</si>
  <si>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</si>
  <si>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</si>
  <si>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</si>
  <si>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</si>
  <si>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</si>
  <si>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</si>
  <si>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</si>
  <si>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</si>
  <si>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</si>
  <si>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</si>
  <si>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</si>
  <si>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</si>
  <si>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</si>
  <si>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</si>
  <si>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</si>
  <si>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</si>
  <si>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</si>
  <si>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</si>
  <si>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</si>
  <si>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</si>
  <si>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</si>
  <si>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</si>
  <si>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</si>
  <si>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</si>
  <si>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</si>
  <si>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</si>
  <si>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</si>
  <si>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</si>
  <si>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</si>
  <si>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</si>
  <si>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</si>
  <si>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</si>
  <si>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</si>
  <si>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</si>
  <si>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</si>
  <si>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</si>
  <si>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</si>
  <si>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</si>
  <si>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</si>
  <si>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</si>
  <si>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</si>
  <si>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</si>
  <si>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</si>
  <si>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</si>
  <si>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</si>
  <si>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</si>
  <si>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</si>
  <si>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</si>
  <si>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</si>
  <si>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</si>
  <si>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</si>
  <si>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</si>
  <si>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</si>
  <si>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</si>
  <si>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</si>
  <si>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</si>
  <si>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</si>
  <si>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</si>
  <si>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</si>
  <si>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</si>
  <si>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</si>
  <si>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</si>
  <si>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</si>
  <si>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</si>
  <si>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</si>
  <si>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</si>
  <si>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</si>
  <si>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</si>
  <si>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</si>
  <si>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</si>
  <si>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</si>
  <si>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</si>
  <si>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</si>
  <si>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</si>
  <si>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</si>
  <si>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</si>
  <si>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</si>
  <si>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</si>
  <si>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</si>
  <si>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</si>
  <si>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</si>
  <si>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</si>
  <si>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</si>
  <si>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</si>
  <si>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</si>
  <si>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</si>
  <si>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</si>
  <si>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</si>
  <si>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</si>
  <si>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</si>
  <si>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</si>
  <si>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</si>
  <si>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</si>
  <si>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</si>
  <si>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</si>
  <si>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</si>
  <si>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</si>
  <si>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</si>
  <si>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</si>
  <si>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</si>
  <si>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</si>
  <si>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</si>
  <si>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</si>
  <si>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</si>
  <si>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</si>
  <si>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</si>
  <si>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</si>
  <si>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</si>
  <si>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</si>
  <si>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</si>
  <si>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</si>
  <si>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</si>
  <si>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</si>
  <si>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</si>
  <si>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</si>
  <si>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</si>
  <si>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</si>
  <si>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</si>
  <si>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</si>
  <si>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</si>
  <si>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</si>
  <si>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</si>
  <si>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</si>
  <si>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</si>
  <si>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</si>
  <si>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</si>
  <si>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</si>
  <si>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</si>
  <si>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</si>
  <si>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</si>
  <si>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</si>
  <si>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</si>
  <si>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</si>
  <si>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</si>
  <si>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</si>
  <si>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</si>
  <si>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</si>
  <si>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</si>
  <si>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</si>
  <si>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</si>
  <si>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</si>
  <si>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</si>
  <si>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</si>
  <si>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</si>
  <si>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</si>
  <si>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</si>
  <si>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</si>
  <si>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</si>
  <si>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</si>
  <si>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</si>
  <si>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</si>
  <si>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</si>
  <si>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</si>
  <si>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</si>
  <si>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</si>
  <si>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</si>
  <si>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</si>
  <si>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</si>
  <si>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</si>
  <si>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</si>
  <si>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</si>
  <si>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</si>
  <si>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</si>
  <si>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</si>
  <si>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</si>
  <si>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</si>
  <si>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</si>
  <si>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</si>
  <si>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</si>
  <si>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</si>
  <si>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</si>
  <si>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</si>
  <si>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</si>
  <si>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</si>
  <si>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</si>
  <si>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</si>
  <si>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</si>
  <si>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</si>
  <si>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</si>
  <si>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</si>
  <si>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</si>
  <si>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</si>
  <si>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</si>
  <si>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</si>
  <si>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</si>
  <si>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</si>
  <si>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</si>
  <si>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</si>
  <si>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</si>
  <si>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</si>
  <si>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</si>
  <si>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</si>
  <si>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</si>
  <si>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</si>
  <si>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</si>
  <si>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</si>
  <si>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</si>
  <si>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</si>
  <si>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</si>
  <si>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</si>
  <si>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</si>
  <si>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</si>
  <si>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</si>
  <si>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</si>
  <si>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</si>
  <si>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</si>
  <si>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</si>
  <si>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</si>
  <si>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</si>
  <si>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</si>
  <si>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</si>
  <si>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</si>
  <si>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</si>
  <si>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</si>
  <si>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</si>
  <si>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</si>
  <si>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</si>
  <si>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</si>
  <si>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</si>
  <si>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</si>
  <si>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</si>
  <si>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</si>
  <si>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</si>
  <si>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</si>
  <si>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</si>
  <si>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</si>
  <si>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</si>
  <si>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</si>
  <si>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</si>
  <si>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</si>
  <si>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</si>
  <si>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</si>
  <si>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</si>
  <si>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</si>
  <si>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</si>
  <si>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</si>
  <si>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</si>
  <si>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</si>
  <si>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</si>
  <si>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</si>
  <si>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</si>
  <si>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</si>
  <si>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</si>
  <si>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</si>
  <si>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</si>
  <si>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</si>
  <si>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</si>
  <si>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</si>
  <si>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</si>
  <si>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</si>
  <si>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</si>
  <si>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</si>
  <si>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</si>
  <si>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</si>
  <si>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</si>
  <si>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</si>
  <si>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</si>
  <si>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</si>
  <si>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</si>
  <si>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</si>
  <si>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</si>
  <si>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</si>
  <si>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</si>
  <si>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</si>
  <si>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</si>
  <si>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</si>
  <si>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</si>
  <si>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</si>
  <si>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</si>
  <si>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</si>
  <si>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</si>
  <si>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</si>
  <si>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</si>
  <si>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</si>
  <si>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</si>
  <si>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</si>
  <si>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</si>
  <si>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</si>
  <si>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</si>
  <si>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</si>
  <si>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</si>
  <si>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</si>
  <si>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</si>
  <si>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</si>
  <si>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</si>
  <si>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</si>
  <si>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</si>
  <si>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</si>
  <si>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</si>
  <si>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</si>
  <si>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</si>
  <si>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</si>
  <si>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</si>
  <si>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</si>
  <si>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</si>
  <si>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</si>
  <si>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</si>
  <si>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</si>
  <si>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</si>
  <si>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</si>
  <si>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</si>
  <si>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</si>
  <si>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</si>
  <si>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</si>
  <si>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</si>
  <si>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</si>
  <si>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</si>
  <si>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</si>
  <si>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</si>
  <si>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</si>
  <si>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</si>
  <si>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</si>
  <si>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</si>
  <si>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</si>
  <si>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</si>
  <si>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</si>
  <si>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</si>
  <si>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</si>
  <si>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</si>
  <si>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</si>
  <si>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</si>
  <si>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</si>
  <si>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</si>
  <si>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</si>
  <si>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</si>
  <si>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</si>
  <si>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</si>
  <si>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</si>
  <si>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</si>
  <si>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</si>
  <si>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</si>
  <si>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</si>
  <si>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</si>
  <si>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</si>
  <si>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</si>
  <si>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</si>
  <si>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</si>
  <si>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</si>
  <si>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</si>
  <si>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</si>
  <si>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</si>
  <si>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</si>
  <si>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</si>
  <si>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</si>
  <si>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</si>
  <si>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</si>
  <si>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</si>
  <si>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</si>
  <si>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</si>
  <si>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</si>
  <si>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</si>
  <si>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</si>
  <si>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</si>
  <si>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</si>
  <si>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</si>
  <si>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</si>
  <si>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</si>
  <si>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</si>
  <si>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</si>
  <si>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</si>
  <si>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</si>
  <si>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</si>
  <si>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</si>
  <si>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</si>
  <si>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</si>
  <si>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</si>
  <si>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</si>
  <si>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</si>
  <si>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</si>
  <si>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</si>
  <si>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</si>
  <si>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</si>
  <si>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</si>
  <si>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</si>
  <si>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</si>
  <si>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</si>
  <si>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</si>
  <si>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</si>
  <si>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</si>
  <si>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</si>
  <si>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</si>
  <si>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</si>
  <si>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</si>
  <si>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</si>
  <si>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</si>
  <si>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</si>
  <si>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</si>
  <si>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</si>
  <si>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</si>
  <si>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</si>
  <si>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</si>
  <si>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</si>
  <si>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</si>
  <si>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</si>
  <si>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</si>
  <si>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</si>
  <si>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</si>
  <si>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</si>
  <si>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</si>
  <si>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</si>
  <si>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</si>
  <si>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</si>
  <si>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</si>
  <si>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</si>
  <si>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</si>
  <si>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</si>
  <si>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</si>
  <si>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</si>
  <si>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</si>
  <si>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</si>
  <si>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</si>
  <si>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</si>
  <si>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</si>
  <si>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</si>
  <si>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</si>
  <si>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</si>
  <si>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</si>
  <si>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</si>
  <si>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</si>
  <si>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</si>
  <si>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</si>
  <si>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</si>
  <si>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</si>
  <si>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</si>
  <si>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</si>
  <si>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</si>
  <si>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</si>
  <si>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</si>
  <si>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</si>
  <si>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</si>
  <si>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</si>
  <si>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</si>
  <si>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</si>
  <si>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</si>
  <si>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</si>
  <si>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</si>
  <si>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</si>
  <si>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</si>
  <si>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</si>
  <si>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</si>
  <si>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</si>
  <si>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</si>
  <si>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</si>
  <si>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</si>
  <si>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</si>
  <si>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</si>
  <si>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</si>
  <si>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</si>
  <si>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</si>
  <si>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</si>
  <si>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</si>
  <si>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</si>
  <si>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</si>
  <si>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</si>
  <si>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</si>
  <si>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</si>
  <si>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</si>
  <si>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</si>
  <si>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</si>
  <si>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</si>
  <si>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</si>
  <si>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</si>
  <si>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</si>
  <si>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</si>
  <si>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</si>
  <si>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</si>
  <si>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</si>
  <si>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</si>
  <si>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</si>
  <si>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</si>
  <si>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</si>
  <si>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</si>
  <si>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</si>
  <si>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</si>
  <si>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</si>
  <si>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</si>
  <si>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</si>
  <si>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</si>
  <si>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</si>
  <si>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</si>
  <si>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</si>
  <si>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</si>
  <si>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</si>
  <si>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</si>
  <si>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</si>
  <si>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</si>
  <si>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</si>
  <si>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</si>
  <si>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</si>
  <si>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</si>
  <si>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</si>
  <si>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</si>
  <si>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</si>
  <si>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</si>
  <si>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</si>
  <si>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</si>
  <si>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</si>
  <si>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Lichtenfels</t>
  </si>
  <si>
    <t>9870011800009</t>
  </si>
  <si>
    <t>Lichtenfels</t>
  </si>
  <si>
    <t>Carmen Walther</t>
  </si>
  <si>
    <t>carmen.walther@stadtwerke-lichtenfels.de</t>
  </si>
  <si>
    <t>09571/9552-16</t>
  </si>
  <si>
    <t>NCHN007001180000</t>
  </si>
  <si>
    <t>DWD10673 Kronach</t>
  </si>
  <si>
    <t>Kronach</t>
  </si>
  <si>
    <t>DE_GMK04</t>
  </si>
  <si>
    <t>DE_GHA04</t>
  </si>
  <si>
    <t>DE_GBD04</t>
  </si>
  <si>
    <t>DE_GBH04</t>
  </si>
  <si>
    <t>DE_GBA04</t>
  </si>
  <si>
    <t>DE_GGA04</t>
  </si>
  <si>
    <t>DE_GWA04</t>
  </si>
  <si>
    <t>DE_GHD04</t>
  </si>
  <si>
    <t>DE_GGB04</t>
  </si>
  <si>
    <t>DE_GPD04</t>
  </si>
  <si>
    <t>DE_GMF04</t>
  </si>
  <si>
    <t>DE_GKO04</t>
  </si>
  <si>
    <t>DE_GBH34</t>
  </si>
  <si>
    <t>Eichenweg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</si>
</sst>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FFFFCC"/>
      </patternFill>
    </fill>
    <fill>
      <patternFill patternType="lightUp">
        <fgColor rgb="FFFFFFCC"/>
        <bgColor rgb="FFFFFFCC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7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73" borderId="63" xfId="0" applyFont="1" applyFill="1" applyBorder="1" applyAlignment="1" applyProtection="1">
      <alignment horizontal="center" vertical="center"/>
      <protection locked="0"/>
    </xf>
    <xf numFmtId="0" fontId="0" fillId="73" borderId="72" xfId="0" applyFont="1" applyFill="1" applyBorder="1" applyAlignment="1" applyProtection="1">
      <alignment horizontal="center" vertical="center"/>
      <protection locked="0"/>
    </xf>
    <xf numFmtId="167" fontId="0" fillId="64" borderId="41" xfId="0" applyNumberFormat="1" applyFont="1" applyFill="1" applyBorder="1" applyAlignment="1" applyProtection="1">
      <alignment horizontal="center" vertical="center"/>
      <protection locked="0"/>
    </xf>
    <xf numFmtId="190" fontId="0" fillId="72" borderId="50" xfId="0" applyNumberFormat="1" applyFont="1" applyFill="1" applyBorder="1" applyAlignment="1" applyProtection="1">
      <alignment horizontal="center" vertical="center"/>
    </xf>
    <xf numFmtId="190" fontId="0" fillId="77" borderId="0" xfId="0" applyNumberFormat="1" applyFont="1" applyFill="1" applyBorder="1" applyAlignment="1" applyProtection="1">
      <alignment horizontal="center" vertical="center"/>
    </xf>
    <xf numFmtId="190" fontId="0" fillId="78" borderId="0" xfId="0" applyNumberFormat="1" applyFont="1" applyFill="1" applyBorder="1" applyAlignment="1" applyProtection="1">
      <alignment horizontal="center" vertical="center"/>
    </xf>
    <xf numFmtId="193" fontId="0" fillId="78" borderId="80" xfId="0" applyNumberFormat="1" applyFont="1" applyFill="1" applyBorder="1" applyAlignment="1" applyProtection="1">
      <alignment horizontal="center" vertical="center"/>
    </xf>
    <xf numFmtId="192" fontId="0" fillId="78" borderId="64" xfId="0" applyNumberFormat="1" applyFont="1" applyFill="1" applyBorder="1" applyAlignment="1" applyProtection="1">
      <alignment horizontal="center" vertical="center"/>
    </xf>
    <xf numFmtId="191" fontId="0" fillId="78" borderId="0" xfId="0" applyNumberFormat="1" applyFont="1" applyFill="1" applyBorder="1" applyAlignment="1" applyProtection="1">
      <alignment horizontal="center" vertical="center"/>
    </xf>
    <xf numFmtId="191" fontId="0" fillId="78" borderId="67" xfId="0" applyNumberFormat="1" applyFont="1" applyFill="1" applyBorder="1" applyAlignment="1" applyProtection="1">
      <alignment horizontal="center" vertical="center"/>
    </xf>
    <xf numFmtId="193" fontId="0" fillId="78" borderId="79" xfId="0" applyNumberFormat="1" applyFont="1" applyFill="1" applyBorder="1" applyAlignment="1" applyProtection="1">
      <alignment horizontal="center" vertical="center"/>
    </xf>
    <xf numFmtId="192" fontId="0" fillId="78" borderId="73" xfId="0" applyNumberFormat="1" applyFont="1" applyFill="1" applyBorder="1" applyAlignment="1" applyProtection="1">
      <alignment horizontal="center" vertical="center"/>
    </xf>
    <xf numFmtId="191" fontId="0" fillId="78" borderId="41" xfId="0" applyNumberFormat="1" applyFont="1" applyFill="1" applyBorder="1" applyAlignment="1" applyProtection="1">
      <alignment horizontal="center" vertical="center"/>
    </xf>
    <xf numFmtId="0" fontId="0" fillId="61" borderId="57" xfId="0" applyFont="1" applyFill="1" applyBorder="1" applyAlignment="1" applyProtection="1">
      <alignment horizontal="center" vertical="center"/>
    </xf>
    <xf numFmtId="0" fontId="0" fillId="61" borderId="54" xfId="0" applyFont="1" applyFill="1" applyBorder="1" applyAlignment="1" applyProtection="1">
      <alignment horizontal="center" vertical="center"/>
    </xf>
    <xf numFmtId="0" fontId="0" fillId="61" borderId="64" xfId="0" applyFont="1" applyFill="1" applyBorder="1" applyAlignment="1" applyProtection="1">
      <alignment horizontal="center" textRotation="90" wrapText="1"/>
    </xf>
    <xf numFmtId="0" fontId="11" fillId="61" borderId="54" xfId="0" applyFont="1" applyFill="1" applyBorder="1" applyAlignment="1" applyProtection="1">
      <alignment horizontal="center" vertical="center" wrapText="1"/>
      <protection locked="0"/>
    </xf>
    <xf numFmtId="0" fontId="0" fillId="61" borderId="25" xfId="0" applyFont="1" applyFill="1" applyBorder="1" applyAlignment="1" applyProtection="1">
      <alignment horizontal="center" vertical="center"/>
    </xf>
    <xf numFmtId="0" fontId="0" fillId="61" borderId="17" xfId="0" applyFont="1" applyFill="1" applyBorder="1" applyAlignment="1" applyProtection="1">
      <alignment horizontal="center" vertical="center"/>
    </xf>
    <xf numFmtId="0" fontId="0" fillId="61" borderId="49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CC"/>
      <color rgb="FFFFFF99"/>
      <color rgb="FF00FF00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337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28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3" sqref="D1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655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32" t="s">
        <v>656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677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96215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657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658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659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660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395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Stadtwerke Lichtenfels</v>
      </c>
      <c r="E28" s="38"/>
      <c r="F28" s="11"/>
      <c r="G28" s="2"/>
    </row>
    <row r="29" spans="1:15">
      <c r="B29" s="15"/>
      <c r="C29" s="22" t="s">
        <v>395</v>
      </c>
      <c r="D29" s="45" t="s">
        <v>655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5" priority="2">
      <formula>IF(CELL("Zeile",D29)&lt;$D$25+CELL("Zeile",$D$29),1,0)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Lichtenfels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Stadtwerke Lichtenfels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9870011800009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2" t="s">
        <v>255</v>
      </c>
      <c r="I11" s="272" t="s">
        <v>258</v>
      </c>
      <c r="J11" s="27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615</v>
      </c>
      <c r="D13" s="33" t="s">
        <v>616</v>
      </c>
      <c r="E13" s="15"/>
      <c r="H13" s="272" t="s">
        <v>616</v>
      </c>
      <c r="I13" s="272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 t="s">
        <v>661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430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70" t="s">
        <v>256</v>
      </c>
      <c r="I18" s="270" t="s">
        <v>134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575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84</v>
      </c>
      <c r="C22" s="8" t="s">
        <v>613</v>
      </c>
      <c r="D22" s="49" t="s">
        <v>609</v>
      </c>
      <c r="E22" s="15"/>
      <c r="H22" s="268" t="s">
        <v>609</v>
      </c>
      <c r="I22" s="268" t="s">
        <v>610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8" t="s">
        <v>612</v>
      </c>
      <c r="I23" s="8" t="s">
        <v>608</v>
      </c>
      <c r="J23" s="8"/>
      <c r="K23" s="8"/>
      <c r="L23" s="269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8" t="s">
        <v>611</v>
      </c>
      <c r="I24" s="268" t="s">
        <v>618</v>
      </c>
      <c r="J24" s="8"/>
      <c r="K24" s="8"/>
      <c r="L24" s="271" t="s">
        <v>619</v>
      </c>
      <c r="M24" s="271" t="s">
        <v>621</v>
      </c>
      <c r="N24" s="271" t="s">
        <v>620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370</v>
      </c>
      <c r="C26" s="6" t="s">
        <v>578</v>
      </c>
      <c r="D26" s="42" t="s">
        <v>135</v>
      </c>
      <c r="E26" s="15"/>
      <c r="H26" s="270" t="s">
        <v>133</v>
      </c>
      <c r="I26" s="270" t="s">
        <v>135</v>
      </c>
      <c r="J26" s="268"/>
      <c r="K26" s="268"/>
      <c r="L26" s="269"/>
    </row>
    <row r="27" spans="2:16" ht="15" customHeight="1">
      <c r="B27" s="7"/>
      <c r="C27" s="6" t="s">
        <v>622</v>
      </c>
      <c r="D27" s="42" t="s">
        <v>623</v>
      </c>
      <c r="E27" s="15"/>
      <c r="H27" s="298" t="s">
        <v>623</v>
      </c>
      <c r="I27" s="270" t="s">
        <v>624</v>
      </c>
      <c r="J27" s="270" t="s">
        <v>625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626</v>
      </c>
      <c r="I28" s="271" t="s">
        <v>627</v>
      </c>
      <c r="J28" s="271" t="s">
        <v>628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629</v>
      </c>
      <c r="I29" s="271" t="s">
        <v>630</v>
      </c>
      <c r="J29" s="271" t="s">
        <v>631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577</v>
      </c>
      <c r="D31" s="42" t="s">
        <v>135</v>
      </c>
      <c r="E31" s="15"/>
      <c r="H31" s="270" t="s">
        <v>133</v>
      </c>
      <c r="I31" s="270" t="s">
        <v>135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632</v>
      </c>
      <c r="I32" s="271" t="s">
        <v>633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634</v>
      </c>
      <c r="I33" s="268" t="s">
        <v>629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549</v>
      </c>
      <c r="C35" s="24" t="s">
        <v>497</v>
      </c>
      <c r="D35" s="42">
        <v>14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550</v>
      </c>
      <c r="C37" s="5" t="s">
        <v>365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366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662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dxfId="63" priority="21">
      <formula>IF($D$11="Gaspool",1,0)</formula>
    </cfRule>
  </conditionalFormatting>
  <conditionalFormatting sqref="D16">
    <cfRule type="expression" dxfId="62" priority="18">
      <formula>IF($D$11="NCG",1,0)</formula>
    </cfRule>
  </conditionalFormatting>
  <conditionalFormatting sqref="D48:D62">
    <cfRule type="expression" dxfId="61" priority="17">
      <formula>IF(CELL("Zeile",D48)&lt;$D$46+CELL("Zeile",$D$48),1,0)</formula>
    </cfRule>
  </conditionalFormatting>
  <conditionalFormatting sqref="D49:D62">
    <cfRule type="expression" dxfId="60" priority="16">
      <formula>IF(CELL(D49)&lt;$D$36+27,1,0)</formula>
    </cfRule>
  </conditionalFormatting>
  <conditionalFormatting sqref="D23">
    <cfRule type="expression" dxfId="59" priority="15">
      <formula>IF($D$22=$H$22,1,0)</formula>
    </cfRule>
  </conditionalFormatting>
  <conditionalFormatting sqref="D31">
    <cfRule type="expression" dxfId="58" priority="4">
      <formula>IF($D$18="synthetisch",1,0)</formula>
    </cfRule>
  </conditionalFormatting>
  <conditionalFormatting sqref="D28">
    <cfRule type="expression" dxfId="57" priority="2">
      <formula>IF(AND($D$27=$I$27,$D$26=$H$26),1,0)</formula>
    </cfRule>
  </conditionalFormatting>
  <conditionalFormatting sqref="D26:D28">
    <cfRule type="expression" dxfId="56" priority="5">
      <formula>IF($D$18="analytisch",1,0)</formula>
    </cfRule>
  </conditionalFormatting>
  <conditionalFormatting sqref="D27">
    <cfRule type="expression" dxfId="55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68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7" zoomScale="70" zoomScaleNormal="70" workbookViewId="0">
      <selection activeCell="E23" sqref="E2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Stadtwerke Lichtenfels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Stadtwerke Lichtenfels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9870011800009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1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 t="str">
        <f>INDEX('SLP-Verfahren'!D48:D62,'SLP-Temp-Gebiet #01'!F10)</f>
        <v>DWD10673 Kronach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61" t="s">
        <v>584</v>
      </c>
      <c r="D13" s="361"/>
      <c r="E13" s="36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62" t="s">
        <v>450</v>
      </c>
      <c r="D14" s="362"/>
      <c r="E14" s="89" t="s">
        <v>451</v>
      </c>
      <c r="F14" s="263" t="s">
        <v>84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62" t="s">
        <v>387</v>
      </c>
      <c r="D15" s="362"/>
      <c r="E15" s="89" t="s">
        <v>451</v>
      </c>
      <c r="F15" s="263" t="s">
        <v>70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663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10673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141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Kronach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10673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527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141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141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141</v>
      </c>
    </row>
    <row r="71" spans="2:15"/>
    <row r="72" spans="2:15" ht="15.75" customHeight="1">
      <c r="C72" s="363" t="s">
        <v>580</v>
      </c>
      <c r="D72" s="363"/>
      <c r="E72" s="363"/>
      <c r="F72" s="36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3" priority="28">
      <formula>IF(E$20&lt;=$F$18,1,0)</formula>
    </cfRule>
  </conditionalFormatting>
  <conditionalFormatting sqref="E32:N36">
    <cfRule type="expression" dxfId="52" priority="27">
      <formula>IF(E$30&lt;=$F$28,1,0)</formula>
    </cfRule>
  </conditionalFormatting>
  <conditionalFormatting sqref="E26:F26">
    <cfRule type="expression" dxfId="51" priority="26">
      <formula>IF(E$20&lt;=$F$18,1,0)</formula>
    </cfRule>
  </conditionalFormatting>
  <conditionalFormatting sqref="E26:N26">
    <cfRule type="expression" dxfId="50" priority="25">
      <formula>IF(E$20&lt;=$F$18,1,0)</formula>
    </cfRule>
  </conditionalFormatting>
  <conditionalFormatting sqref="E56:N59">
    <cfRule type="expression" dxfId="49" priority="22">
      <formula>IF(E$54&lt;=$F$52,1,0)</formula>
    </cfRule>
  </conditionalFormatting>
  <conditionalFormatting sqref="E60:N60">
    <cfRule type="expression" dxfId="48" priority="21">
      <formula>IF(E$54&lt;=$F$52,1,0)</formula>
    </cfRule>
  </conditionalFormatting>
  <conditionalFormatting sqref="E66:N68">
    <cfRule type="expression" dxfId="47" priority="15">
      <formula>IF(E$64&lt;=$F$62,1,0)</formula>
    </cfRule>
  </conditionalFormatting>
  <conditionalFormatting sqref="E65:N68 E70:N70">
    <cfRule type="expression" dxfId="46" priority="13">
      <formula>IF(E$64&gt;$F$62,1,0)</formula>
    </cfRule>
  </conditionalFormatting>
  <conditionalFormatting sqref="E56:N60">
    <cfRule type="expression" dxfId="45" priority="12">
      <formula>IF(E$54&gt;$F$52,1,0)</formula>
    </cfRule>
  </conditionalFormatting>
  <conditionalFormatting sqref="E21:N26">
    <cfRule type="expression" dxfId="44" priority="11">
      <formula>IF(E$20&gt;$F$18,1,0)</formula>
    </cfRule>
  </conditionalFormatting>
  <conditionalFormatting sqref="E32:N36">
    <cfRule type="expression" dxfId="43" priority="10">
      <formula>IF(E$30&gt;$F$28,1,0)</formula>
    </cfRule>
  </conditionalFormatting>
  <conditionalFormatting sqref="H11 H8:H9">
    <cfRule type="expression" dxfId="42" priority="9">
      <formula>IF($F$9=1,1,0)</formula>
    </cfRule>
  </conditionalFormatting>
  <conditionalFormatting sqref="E55:N55">
    <cfRule type="expression" dxfId="41" priority="8">
      <formula>IF(E$54&gt;$F$52,1,0)</formula>
    </cfRule>
  </conditionalFormatting>
  <conditionalFormatting sqref="E31:N31">
    <cfRule type="expression" dxfId="40" priority="7">
      <formula>IF(E$30&gt;$F$28,1,0)</formula>
    </cfRule>
  </conditionalFormatting>
  <conditionalFormatting sqref="E70:N70">
    <cfRule type="expression" dxfId="39" priority="6">
      <formula>IF(E$64&lt;=$F$62,1,0)</formula>
    </cfRule>
  </conditionalFormatting>
  <conditionalFormatting sqref="H10">
    <cfRule type="expression" dxfId="38" priority="5">
      <formula>IF($F$9=1,1,0)</formula>
    </cfRule>
  </conditionalFormatting>
  <conditionalFormatting sqref="E69:N69">
    <cfRule type="expression" dxfId="37" priority="2">
      <formula>IF(E$64&lt;=$F$62,1,0)</formula>
    </cfRule>
  </conditionalFormatting>
  <conditionalFormatting sqref="E69:N69">
    <cfRule type="expression" dxfId="3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0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Stadtwerke Lichtenfels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Stadtwerke Lichtenfels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9870011800009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2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61" t="s">
        <v>584</v>
      </c>
      <c r="D13" s="361"/>
      <c r="E13" s="36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62" t="s">
        <v>450</v>
      </c>
      <c r="D14" s="362"/>
      <c r="E14" s="89" t="s">
        <v>451</v>
      </c>
      <c r="F14" s="263" t="s">
        <v>84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62" t="s">
        <v>387</v>
      </c>
      <c r="D15" s="362"/>
      <c r="E15" s="89" t="s">
        <v>451</v>
      </c>
      <c r="F15" s="263" t="s">
        <v>70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141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527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141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141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141</v>
      </c>
    </row>
    <row r="71" spans="2:15"/>
    <row r="72" spans="2:15" ht="15.75" customHeight="1">
      <c r="C72" s="363" t="s">
        <v>580</v>
      </c>
      <c r="D72" s="363"/>
      <c r="E72" s="363"/>
      <c r="F72" s="36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9" zoomScale="80" zoomScaleNormal="80" workbookViewId="0">
      <selection activeCell="Y12" sqref="Y12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364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369</v>
      </c>
      <c r="D5" s="54" t="str">
        <f>Netzbetreiber!$D$9</f>
        <v>Stadtwerke Lichtenfels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336</v>
      </c>
      <c r="D6" s="54" t="str">
        <f>Netzbetreiber!$D$28</f>
        <v>Stadtwerke Lichtenfels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9870011800009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42278</v>
      </c>
      <c r="E8" s="130"/>
      <c r="F8" s="130"/>
      <c r="H8" s="128" t="s">
        <v>497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247</v>
      </c>
      <c r="C10" s="135" t="s">
        <v>496</v>
      </c>
      <c r="D10" s="134" t="s">
        <v>146</v>
      </c>
      <c r="E10" s="273" t="s">
        <v>512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295" t="s">
        <v>648</v>
      </c>
    </row>
    <row r="11" spans="2:26" ht="15.75" thickBot="1">
      <c r="B11" s="139" t="s">
        <v>498</v>
      </c>
      <c r="C11" s="140" t="s">
        <v>511</v>
      </c>
      <c r="D11" s="294" t="s">
        <v>246</v>
      </c>
      <c r="E11" s="164" t="s">
        <v>676</v>
      </c>
      <c r="F11" s="296" t="str">
        <f>VLOOKUP($E11,'BDEW-Standard'!$B$3:$M$158,F$9,0)</f>
        <v>HB4</v>
      </c>
      <c r="H11" s="344">
        <f>ROUND(VLOOKUP($E11,'BDEW-Standard'!$B$3:$M$158,H$9,0),7)</f>
        <v>0.98725850000000004</v>
      </c>
      <c r="I11" s="167">
        <f>ROUND(VLOOKUP($E11,'BDEW-Standard'!$B$3:$M$158,I$9,0),7)</f>
        <v>-35.253212400000002</v>
      </c>
      <c r="J11" s="167">
        <f>ROUND(VLOOKUP($E11,'BDEW-Standard'!$B$3:$M$158,J$9,0),7)</f>
        <v>6.0587001000000003</v>
      </c>
      <c r="K11" s="167">
        <f>ROUND(VLOOKUP($E11,'BDEW-Standard'!$B$3:$M$158,K$9,0),7)</f>
        <v>7.9351199999999997E-2</v>
      </c>
      <c r="L11" s="336">
        <f>ROUND(VLOOKUP($E11,'BDEW-Standard'!$B$3:$M$158,L$9,0),1)</f>
        <v>40</v>
      </c>
      <c r="M11" s="167">
        <f>ROUND(VLOOKUP($E11,'BDEW-Standard'!$B$3:$M$158,M$9,0),7)</f>
        <v>-4.9501299999999998E-2</v>
      </c>
      <c r="N11" s="167">
        <f>ROUND(VLOOKUP($E11,'BDEW-Standard'!$B$3:$M$158,N$9,0),7)</f>
        <v>0.96379990000000004</v>
      </c>
      <c r="O11" s="167">
        <f>ROUND(VLOOKUP($E11,'BDEW-Standard'!$B$3:$M$158,O$9,0),7)</f>
        <v>-2.2304E-3</v>
      </c>
      <c r="P11" s="167">
        <f>ROUND(VLOOKUP($E11,'BDEW-Standard'!$B$3:$M$158,P$9,0),7)</f>
        <v>0.22883980000000001</v>
      </c>
      <c r="Q11" s="337">
        <f>($H11/(1+($I11/($Q$9-$L11))^$J11)+$K11)+MAX($M11*$Q$9+$N11,$O11*$Q$9+$P11)</f>
        <v>1.000000249892145</v>
      </c>
      <c r="R11" s="168">
        <f>ROUND(VLOOKUP(MID($E11,4,3),'Wochentag F(WT)'!$B$7:$J$22,R$9,0),4)</f>
        <v>0.97670000000000001</v>
      </c>
      <c r="S11" s="168">
        <f>ROUND(VLOOKUP(MID($E11,4,3),'Wochentag F(WT)'!$B$7:$J$22,S$9,0),4)</f>
        <v>1.0388999999999999</v>
      </c>
      <c r="T11" s="168">
        <f>ROUND(VLOOKUP(MID($E11,4,3),'Wochentag F(WT)'!$B$7:$J$22,T$9,0),4)</f>
        <v>1.0027999999999999</v>
      </c>
      <c r="U11" s="168">
        <f>ROUND(VLOOKUP(MID($E11,4,3),'Wochentag F(WT)'!$B$7:$J$22,U$9,0),4)</f>
        <v>1.0162</v>
      </c>
      <c r="V11" s="168">
        <f>ROUND(VLOOKUP(MID($E11,4,3),'Wochentag F(WT)'!$B$7:$J$22,V$9,0),4)</f>
        <v>1.0024</v>
      </c>
      <c r="W11" s="168">
        <f>ROUND(VLOOKUP(MID($E11,4,3),'Wochentag F(WT)'!$B$7:$J$22,W$9,0),4)</f>
        <v>1.0043</v>
      </c>
      <c r="X11" s="169">
        <f>7-SUM(R11:W11)</f>
        <v>0.95870000000000122</v>
      </c>
      <c r="Y11" s="292">
        <v>365.12299999999999</v>
      </c>
    </row>
    <row r="12" spans="2:26">
      <c r="B12" s="141">
        <v>1</v>
      </c>
      <c r="C12" s="142" t="str">
        <f t="shared" ref="C12:C25" si="0">$D$6</f>
        <v>Stadtwerke Lichtenfels</v>
      </c>
      <c r="D12" s="62" t="s">
        <v>246</v>
      </c>
      <c r="E12" s="341" t="s">
        <v>65</v>
      </c>
      <c r="F12" s="297" t="s">
        <v>332</v>
      </c>
      <c r="H12" s="345">
        <f>ROUND(VLOOKUP($E12,'BDEW-Standard'!$B$3:$M$158,H$9,0),7)</f>
        <v>2.4859160999999999</v>
      </c>
      <c r="I12" s="346">
        <f>ROUND(VLOOKUP($E12,'BDEW-Standard'!$B$3:$M$158,I$9,0),7)</f>
        <v>-35.043597800000001</v>
      </c>
      <c r="J12" s="346">
        <f>ROUND(VLOOKUP($E12,'BDEW-Standard'!$B$3:$M$158,J$9,0),7)</f>
        <v>6.2818214000000001</v>
      </c>
      <c r="K12" s="346">
        <f>ROUND(VLOOKUP($E12,'BDEW-Standard'!$B$3:$M$158,K$9,0),7)</f>
        <v>0.1065396</v>
      </c>
      <c r="L12" s="347">
        <f>ROUND(VLOOKUP($E12,'BDEW-Standard'!$B$3:$M$158,L$9,0),1)</f>
        <v>40</v>
      </c>
      <c r="M12" s="346">
        <f>ROUND(VLOOKUP($E12,'BDEW-Standard'!$B$3:$M$158,M$9,0),7)</f>
        <v>0</v>
      </c>
      <c r="N12" s="346">
        <f>ROUND(VLOOKUP($E12,'BDEW-Standard'!$B$3:$M$158,N$9,0),7)</f>
        <v>0</v>
      </c>
      <c r="O12" s="346">
        <f>ROUND(VLOOKUP($E12,'BDEW-Standard'!$B$3:$M$158,O$9,0),7)</f>
        <v>0</v>
      </c>
      <c r="P12" s="346">
        <f>ROUND(VLOOKUP($E12,'BDEW-Standard'!$B$3:$M$158,P$9,0),7)</f>
        <v>0</v>
      </c>
      <c r="Q12" s="348">
        <f>($H12/(1+($I12/($Q$9-$L12))^$J12)+$K12)+MAX($M12*$Q$9+$N12,$O12*$Q$9+$P12)</f>
        <v>1.0041152127680664</v>
      </c>
      <c r="R12" s="349">
        <f>ROUND(VLOOKUP(MID($E12,4,3),'Wochentag F(WT)'!$B$7:$J$22,R$9,0),4)</f>
        <v>1</v>
      </c>
      <c r="S12" s="349">
        <f>ROUND(VLOOKUP(MID($E12,4,3),'Wochentag F(WT)'!$B$7:$J$22,S$9,0),4)</f>
        <v>1</v>
      </c>
      <c r="T12" s="349">
        <f>ROUND(VLOOKUP(MID($E12,4,3),'Wochentag F(WT)'!$B$7:$J$22,T$9,0),4)</f>
        <v>1</v>
      </c>
      <c r="U12" s="349">
        <f>ROUND(VLOOKUP(MID($E12,4,3),'Wochentag F(WT)'!$B$7:$J$22,U$9,0),4)</f>
        <v>1</v>
      </c>
      <c r="V12" s="349">
        <f>ROUND(VLOOKUP(MID($E12,4,3),'Wochentag F(WT)'!$B$7:$J$22,V$9,0),4)</f>
        <v>1</v>
      </c>
      <c r="W12" s="349">
        <f>ROUND(VLOOKUP(MID($E12,4,3),'Wochentag F(WT)'!$B$7:$J$22,W$9,0),4)</f>
        <v>1</v>
      </c>
      <c r="X12" s="350">
        <f>7-SUM(R12:W12)</f>
        <v>1</v>
      </c>
      <c r="Y12" s="343"/>
      <c r="Z12" s="211"/>
    </row>
    <row r="13" spans="2:26" s="143" customFormat="1">
      <c r="B13" s="144">
        <v>2</v>
      </c>
      <c r="C13" s="145" t="str">
        <f t="shared" si="0"/>
        <v>Stadtwerke Lichtenfels</v>
      </c>
      <c r="D13" s="62" t="s">
        <v>246</v>
      </c>
      <c r="E13" s="342" t="s">
        <v>55</v>
      </c>
      <c r="F13" s="297" t="str">
        <f>VLOOKUP($E13,'BDEW-Standard'!$B$3:$M$158,F$9,0)</f>
        <v>G14</v>
      </c>
      <c r="H13" s="346">
        <f>ROUND(VLOOKUP($E13,'BDEW-Standard'!$B$3:$M$158,H$9,0),7)</f>
        <v>3.159294</v>
      </c>
      <c r="I13" s="346">
        <f>ROUND(VLOOKUP($E13,'BDEW-Standard'!$B$3:$M$158,I$9,0),7)</f>
        <v>-37.406886</v>
      </c>
      <c r="J13" s="346">
        <f>ROUND(VLOOKUP($E13,'BDEW-Standard'!$B$3:$M$158,J$9,0),7)</f>
        <v>6.1418926000000003</v>
      </c>
      <c r="K13" s="346">
        <f>ROUND(VLOOKUP($E13,'BDEW-Standard'!$B$3:$M$158,K$9,0),7)</f>
        <v>7.6563300000000001E-2</v>
      </c>
      <c r="L13" s="351">
        <f>ROUND(VLOOKUP($E13,'BDEW-Standard'!$B$3:$M$158,L$9,0),1)</f>
        <v>40</v>
      </c>
      <c r="M13" s="346">
        <f>ROUND(VLOOKUP($E13,'BDEW-Standard'!$B$3:$M$158,M$9,0),7)</f>
        <v>0</v>
      </c>
      <c r="N13" s="346">
        <f>ROUND(VLOOKUP($E13,'BDEW-Standard'!$B$3:$M$158,N$9,0),7)</f>
        <v>0</v>
      </c>
      <c r="O13" s="346">
        <f>ROUND(VLOOKUP($E13,'BDEW-Standard'!$B$3:$M$158,O$9,0),7)</f>
        <v>0</v>
      </c>
      <c r="P13" s="346">
        <f>ROUND(VLOOKUP($E13,'BDEW-Standard'!$B$3:$M$158,P$9,0),7)</f>
        <v>0</v>
      </c>
      <c r="Q13" s="352">
        <f>($H13/(1+($I13/($Q$9-$L13))^$J13)+$K13)+MAX($M13*$Q$9+$N13,$O13*$Q$9+$P13)</f>
        <v>0.95202070224521151</v>
      </c>
      <c r="R13" s="349">
        <f>ROUND(VLOOKUP(MID($E13,4,3),'Wochentag F(WT)'!$B$7:$J$22,R$9,0),4)</f>
        <v>1</v>
      </c>
      <c r="S13" s="349">
        <f>ROUND(VLOOKUP(MID($E13,4,3),'Wochentag F(WT)'!$B$7:$J$22,S$9,0),4)</f>
        <v>1</v>
      </c>
      <c r="T13" s="349">
        <f>ROUND(VLOOKUP(MID($E13,4,3),'Wochentag F(WT)'!$B$7:$J$22,T$9,0),4)</f>
        <v>1</v>
      </c>
      <c r="U13" s="349">
        <f>ROUND(VLOOKUP(MID($E13,4,3),'Wochentag F(WT)'!$B$7:$J$22,U$9,0),4)</f>
        <v>1</v>
      </c>
      <c r="V13" s="349">
        <f>ROUND(VLOOKUP(MID($E13,4,3),'Wochentag F(WT)'!$B$7:$J$22,V$9,0),4)</f>
        <v>1</v>
      </c>
      <c r="W13" s="349">
        <f>ROUND(VLOOKUP(MID($E13,4,3),'Wochentag F(WT)'!$B$7:$J$22,W$9,0),4)</f>
        <v>1</v>
      </c>
      <c r="X13" s="353">
        <f>7-SUM(R13:W13)</f>
        <v>1</v>
      </c>
      <c r="Y13" s="343"/>
      <c r="Z13" s="211"/>
    </row>
    <row r="14" spans="2:26" s="143" customFormat="1">
      <c r="B14" s="144">
        <v>3</v>
      </c>
      <c r="C14" s="145" t="str">
        <f t="shared" si="0"/>
        <v>Stadtwerke Lichtenfels</v>
      </c>
      <c r="D14" s="62" t="s">
        <v>246</v>
      </c>
      <c r="E14" s="165" t="s">
        <v>664</v>
      </c>
      <c r="F14" s="297" t="str">
        <f>VLOOKUP($E14,'BDEW-Standard'!$B$3:$M$94,F$9,0)</f>
        <v>MK4</v>
      </c>
      <c r="H14" s="274">
        <f>ROUND(VLOOKUP($E14,'BDEW-Standard'!$B$3:$M$94,H$9,0),7)</f>
        <v>3.1177248</v>
      </c>
      <c r="I14" s="274">
        <f>ROUND(VLOOKUP($E14,'BDEW-Standard'!$B$3:$M$94,I$9,0),7)</f>
        <v>-35.871506199999999</v>
      </c>
      <c r="J14" s="274">
        <f>ROUND(VLOOKUP($E14,'BDEW-Standard'!$B$3:$M$94,J$9,0),7)</f>
        <v>7.5186828999999999</v>
      </c>
      <c r="K14" s="274">
        <f>ROUND(VLOOKUP($E14,'BDEW-Standard'!$B$3:$M$94,K$9,0),7)</f>
        <v>3.4330100000000002E-2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ref="Q14:Q25" si="1">($H14/(1+($I14/($Q$9-$L14))^$J14)+$K14)+MAX($M14*$Q$9+$N14,$O14*$Q$9+$P14)</f>
        <v>0.9622064996731321</v>
      </c>
      <c r="R14" s="275">
        <f>ROUND(VLOOKUP(MID($E14,4,3),'Wochentag F(WT)'!$B$7:$J$22,R$9,0),4)</f>
        <v>1.0699000000000001</v>
      </c>
      <c r="S14" s="275">
        <f>ROUND(VLOOKUP(MID($E14,4,3),'Wochentag F(WT)'!$B$7:$J$22,S$9,0),4)</f>
        <v>1.0365</v>
      </c>
      <c r="T14" s="275">
        <f>ROUND(VLOOKUP(MID($E14,4,3),'Wochentag F(WT)'!$B$7:$J$22,T$9,0),4)</f>
        <v>0.99329999999999996</v>
      </c>
      <c r="U14" s="275">
        <f>ROUND(VLOOKUP(MID($E14,4,3),'Wochentag F(WT)'!$B$7:$J$22,U$9,0),4)</f>
        <v>0.99480000000000002</v>
      </c>
      <c r="V14" s="275">
        <f>ROUND(VLOOKUP(MID($E14,4,3),'Wochentag F(WT)'!$B$7:$J$22,V$9,0),4)</f>
        <v>1.0659000000000001</v>
      </c>
      <c r="W14" s="275">
        <f>ROUND(VLOOKUP(MID($E14,4,3),'Wochentag F(WT)'!$B$7:$J$22,W$9,0),4)</f>
        <v>0.93620000000000003</v>
      </c>
      <c r="X14" s="276">
        <f t="shared" ref="X14:X25" si="2">7-SUM(R14:W14)</f>
        <v>0.90339999999999954</v>
      </c>
      <c r="Y14" s="293"/>
      <c r="Z14" s="211"/>
    </row>
    <row r="15" spans="2:26" s="143" customFormat="1">
      <c r="B15" s="144">
        <v>4</v>
      </c>
      <c r="C15" s="145" t="str">
        <f t="shared" si="0"/>
        <v>Stadtwerke Lichtenfels</v>
      </c>
      <c r="D15" s="62" t="s">
        <v>246</v>
      </c>
      <c r="E15" s="165" t="s">
        <v>665</v>
      </c>
      <c r="F15" s="297" t="str">
        <f>VLOOKUP($E15,'BDEW-Standard'!$B$3:$M$94,F$9,0)</f>
        <v>HA4</v>
      </c>
      <c r="H15" s="274">
        <f>ROUND(VLOOKUP($E15,'BDEW-Standard'!$B$3:$M$94,H$9,0),7)</f>
        <v>4.0196902000000003</v>
      </c>
      <c r="I15" s="274">
        <f>ROUND(VLOOKUP($E15,'BDEW-Standard'!$B$3:$M$94,I$9,0),7)</f>
        <v>-37.828203700000003</v>
      </c>
      <c r="J15" s="274">
        <f>ROUND(VLOOKUP($E15,'BDEW-Standard'!$B$3:$M$94,J$9,0),7)</f>
        <v>8.1593368999999996</v>
      </c>
      <c r="K15" s="274">
        <f>ROUND(VLOOKUP($E15,'BDEW-Standard'!$B$3:$M$94,K$9,0),7)</f>
        <v>4.72845E-2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0.86486713303260787</v>
      </c>
      <c r="R15" s="275">
        <f>ROUND(VLOOKUP(MID($E15,4,3),'Wochentag F(WT)'!$B$7:$J$22,R$9,0),4)</f>
        <v>1.0358000000000001</v>
      </c>
      <c r="S15" s="275">
        <f>ROUND(VLOOKUP(MID($E15,4,3),'Wochentag F(WT)'!$B$7:$J$22,S$9,0),4)</f>
        <v>1.0232000000000001</v>
      </c>
      <c r="T15" s="275">
        <f>ROUND(VLOOKUP(MID($E15,4,3),'Wochentag F(WT)'!$B$7:$J$22,T$9,0),4)</f>
        <v>1.0251999999999999</v>
      </c>
      <c r="U15" s="275">
        <f>ROUND(VLOOKUP(MID($E15,4,3),'Wochentag F(WT)'!$B$7:$J$22,U$9,0),4)</f>
        <v>1.0295000000000001</v>
      </c>
      <c r="V15" s="275">
        <f>ROUND(VLOOKUP(MID($E15,4,3),'Wochentag F(WT)'!$B$7:$J$22,V$9,0),4)</f>
        <v>1.0253000000000001</v>
      </c>
      <c r="W15" s="275">
        <f>ROUND(VLOOKUP(MID($E15,4,3),'Wochentag F(WT)'!$B$7:$J$22,W$9,0),4)</f>
        <v>0.96750000000000003</v>
      </c>
      <c r="X15" s="276">
        <f t="shared" si="2"/>
        <v>0.89350000000000041</v>
      </c>
      <c r="Y15" s="293"/>
      <c r="Z15" s="211"/>
    </row>
    <row r="16" spans="2:26" s="143" customFormat="1">
      <c r="B16" s="144">
        <v>5</v>
      </c>
      <c r="C16" s="145" t="str">
        <f t="shared" si="0"/>
        <v>Stadtwerke Lichtenfels</v>
      </c>
      <c r="D16" s="62" t="s">
        <v>246</v>
      </c>
      <c r="E16" s="165" t="s">
        <v>666</v>
      </c>
      <c r="F16" s="297" t="str">
        <f>VLOOKUP($E16,'BDEW-Standard'!$B$3:$M$94,F$9,0)</f>
        <v>BD4</v>
      </c>
      <c r="H16" s="274">
        <f>ROUND(VLOOKUP($E16,'BDEW-Standard'!$B$3:$M$94,H$9,0),7)</f>
        <v>3.75</v>
      </c>
      <c r="I16" s="274">
        <f>ROUND(VLOOKUP($E16,'BDEW-Standard'!$B$3:$M$94,I$9,0),7)</f>
        <v>-37.5</v>
      </c>
      <c r="J16" s="274">
        <f>ROUND(VLOOKUP($E16,'BDEW-Standard'!$B$3:$M$94,J$9,0),7)</f>
        <v>6.8</v>
      </c>
      <c r="K16" s="274">
        <f>ROUND(VLOOKUP($E16,'BDEW-Standard'!$B$3:$M$94,K$9,0),7)</f>
        <v>6.0911300000000002E-2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1.0126136468627658</v>
      </c>
      <c r="R16" s="275">
        <f>ROUND(VLOOKUP(MID($E16,4,3),'Wochentag F(WT)'!$B$7:$J$22,R$9,0),4)</f>
        <v>1.1052</v>
      </c>
      <c r="S16" s="275">
        <f>ROUND(VLOOKUP(MID($E16,4,3),'Wochentag F(WT)'!$B$7:$J$22,S$9,0),4)</f>
        <v>1.0857000000000001</v>
      </c>
      <c r="T16" s="275">
        <f>ROUND(VLOOKUP(MID($E16,4,3),'Wochentag F(WT)'!$B$7:$J$22,T$9,0),4)</f>
        <v>1.0378000000000001</v>
      </c>
      <c r="U16" s="275">
        <f>ROUND(VLOOKUP(MID($E16,4,3),'Wochentag F(WT)'!$B$7:$J$22,U$9,0),4)</f>
        <v>1.0622</v>
      </c>
      <c r="V16" s="275">
        <f>ROUND(VLOOKUP(MID($E16,4,3),'Wochentag F(WT)'!$B$7:$J$22,V$9,0),4)</f>
        <v>1.0266</v>
      </c>
      <c r="W16" s="275">
        <f>ROUND(VLOOKUP(MID($E16,4,3),'Wochentag F(WT)'!$B$7:$J$22,W$9,0),4)</f>
        <v>0.76290000000000002</v>
      </c>
      <c r="X16" s="276">
        <f t="shared" si="2"/>
        <v>0.91959999999999997</v>
      </c>
      <c r="Y16" s="293"/>
      <c r="Z16" s="211"/>
    </row>
    <row r="17" spans="2:26" s="143" customFormat="1">
      <c r="B17" s="144">
        <v>6</v>
      </c>
      <c r="C17" s="145" t="str">
        <f t="shared" si="0"/>
        <v>Stadtwerke Lichtenfels</v>
      </c>
      <c r="D17" s="62" t="s">
        <v>246</v>
      </c>
      <c r="E17" s="165" t="s">
        <v>667</v>
      </c>
      <c r="F17" s="297" t="str">
        <f>VLOOKUP($E17,'BDEW-Standard'!$B$3:$M$94,F$9,0)</f>
        <v>BH4</v>
      </c>
      <c r="H17" s="274">
        <f>ROUND(VLOOKUP($E17,'BDEW-Standard'!$B$3:$M$94,H$9,0),7)</f>
        <v>2.4595180999999999</v>
      </c>
      <c r="I17" s="274">
        <f>ROUND(VLOOKUP($E17,'BDEW-Standard'!$B$3:$M$94,I$9,0),7)</f>
        <v>-35.253212400000002</v>
      </c>
      <c r="J17" s="274">
        <f>ROUND(VLOOKUP($E17,'BDEW-Standard'!$B$3:$M$94,J$9,0),7)</f>
        <v>6.0587001000000003</v>
      </c>
      <c r="K17" s="274">
        <f>ROUND(VLOOKUP($E17,'BDEW-Standard'!$B$3:$M$94,K$9,0),7)</f>
        <v>0.16473699999999999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1.043802057143173</v>
      </c>
      <c r="R17" s="275">
        <f>ROUND(VLOOKUP(MID($E17,4,3),'Wochentag F(WT)'!$B$7:$J$22,R$9,0),4)</f>
        <v>0.97670000000000001</v>
      </c>
      <c r="S17" s="275">
        <f>ROUND(VLOOKUP(MID($E17,4,3),'Wochentag F(WT)'!$B$7:$J$22,S$9,0),4)</f>
        <v>1.0388999999999999</v>
      </c>
      <c r="T17" s="275">
        <f>ROUND(VLOOKUP(MID($E17,4,3),'Wochentag F(WT)'!$B$7:$J$22,T$9,0),4)</f>
        <v>1.0027999999999999</v>
      </c>
      <c r="U17" s="275">
        <f>ROUND(VLOOKUP(MID($E17,4,3),'Wochentag F(WT)'!$B$7:$J$22,U$9,0),4)</f>
        <v>1.0162</v>
      </c>
      <c r="V17" s="275">
        <f>ROUND(VLOOKUP(MID($E17,4,3),'Wochentag F(WT)'!$B$7:$J$22,V$9,0),4)</f>
        <v>1.0024</v>
      </c>
      <c r="W17" s="275">
        <f>ROUND(VLOOKUP(MID($E17,4,3),'Wochentag F(WT)'!$B$7:$J$22,W$9,0),4)</f>
        <v>1.0043</v>
      </c>
      <c r="X17" s="276">
        <f t="shared" si="2"/>
        <v>0.95870000000000122</v>
      </c>
      <c r="Y17" s="293"/>
      <c r="Z17" s="211"/>
    </row>
    <row r="18" spans="2:26" s="143" customFormat="1">
      <c r="B18" s="144">
        <v>7</v>
      </c>
      <c r="C18" s="145" t="str">
        <f t="shared" si="0"/>
        <v>Stadtwerke Lichtenfels</v>
      </c>
      <c r="D18" s="62" t="s">
        <v>246</v>
      </c>
      <c r="E18" s="165" t="s">
        <v>668</v>
      </c>
      <c r="F18" s="297" t="str">
        <f>VLOOKUP($E18,'BDEW-Standard'!$B$3:$M$94,F$9,0)</f>
        <v>BA4</v>
      </c>
      <c r="H18" s="274">
        <f>ROUND(VLOOKUP($E18,'BDEW-Standard'!$B$3:$M$94,H$9,0),7)</f>
        <v>0.93158890000000005</v>
      </c>
      <c r="I18" s="274">
        <f>ROUND(VLOOKUP($E18,'BDEW-Standard'!$B$3:$M$94,I$9,0),7)</f>
        <v>-33.35</v>
      </c>
      <c r="J18" s="274">
        <f>ROUND(VLOOKUP($E18,'BDEW-Standard'!$B$3:$M$94,J$9,0),7)</f>
        <v>5.7212303000000002</v>
      </c>
      <c r="K18" s="274">
        <f>ROUND(VLOOKUP($E18,'BDEW-Standard'!$B$3:$M$94,K$9,0),7)</f>
        <v>0.66564939999999995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1.0766391850538448</v>
      </c>
      <c r="R18" s="275">
        <f>ROUND(VLOOKUP(MID($E18,4,3),'Wochentag F(WT)'!$B$7:$J$22,R$9,0),4)</f>
        <v>1.0848</v>
      </c>
      <c r="S18" s="275">
        <f>ROUND(VLOOKUP(MID($E18,4,3),'Wochentag F(WT)'!$B$7:$J$22,S$9,0),4)</f>
        <v>1.1211</v>
      </c>
      <c r="T18" s="275">
        <f>ROUND(VLOOKUP(MID($E18,4,3),'Wochentag F(WT)'!$B$7:$J$22,T$9,0),4)</f>
        <v>1.0769</v>
      </c>
      <c r="U18" s="275">
        <f>ROUND(VLOOKUP(MID($E18,4,3),'Wochentag F(WT)'!$B$7:$J$22,U$9,0),4)</f>
        <v>1.1353</v>
      </c>
      <c r="V18" s="275">
        <f>ROUND(VLOOKUP(MID($E18,4,3),'Wochentag F(WT)'!$B$7:$J$22,V$9,0),4)</f>
        <v>1.1402000000000001</v>
      </c>
      <c r="W18" s="275">
        <f>ROUND(VLOOKUP(MID($E18,4,3),'Wochentag F(WT)'!$B$7:$J$22,W$9,0),4)</f>
        <v>0.48520000000000002</v>
      </c>
      <c r="X18" s="276">
        <f t="shared" si="2"/>
        <v>0.95650000000000013</v>
      </c>
      <c r="Y18" s="293"/>
      <c r="Z18" s="211"/>
    </row>
    <row r="19" spans="2:26" s="143" customFormat="1">
      <c r="B19" s="144">
        <v>8</v>
      </c>
      <c r="C19" s="145" t="str">
        <f t="shared" si="0"/>
        <v>Stadtwerke Lichtenfels</v>
      </c>
      <c r="D19" s="62" t="s">
        <v>246</v>
      </c>
      <c r="E19" s="165" t="s">
        <v>669</v>
      </c>
      <c r="F19" s="297" t="str">
        <f>VLOOKUP($E19,'BDEW-Standard'!$B$3:$M$94,F$9,0)</f>
        <v>GA4</v>
      </c>
      <c r="H19" s="274">
        <f>ROUND(VLOOKUP($E19,'BDEW-Standard'!$B$3:$M$94,H$9,0),7)</f>
        <v>2.8195655999999998</v>
      </c>
      <c r="I19" s="274">
        <f>ROUND(VLOOKUP($E19,'BDEW-Standard'!$B$3:$M$94,I$9,0),7)</f>
        <v>-36</v>
      </c>
      <c r="J19" s="274">
        <f>ROUND(VLOOKUP($E19,'BDEW-Standard'!$B$3:$M$94,J$9,0),7)</f>
        <v>7.7368518000000002</v>
      </c>
      <c r="K19" s="274">
        <f>ROUND(VLOOKUP($E19,'BDEW-Standard'!$B$3:$M$94,K$9,0),7)</f>
        <v>0.157281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0.96576337685759206</v>
      </c>
      <c r="R19" s="275">
        <f>ROUND(VLOOKUP(MID($E19,4,3),'Wochentag F(WT)'!$B$7:$J$22,R$9,0),4)</f>
        <v>0.93220000000000003</v>
      </c>
      <c r="S19" s="275">
        <f>ROUND(VLOOKUP(MID($E19,4,3),'Wochentag F(WT)'!$B$7:$J$22,S$9,0),4)</f>
        <v>0.98939999999999995</v>
      </c>
      <c r="T19" s="275">
        <f>ROUND(VLOOKUP(MID($E19,4,3),'Wochentag F(WT)'!$B$7:$J$22,T$9,0),4)</f>
        <v>1.0033000000000001</v>
      </c>
      <c r="U19" s="275">
        <f>ROUND(VLOOKUP(MID($E19,4,3),'Wochentag F(WT)'!$B$7:$J$22,U$9,0),4)</f>
        <v>1.0108999999999999</v>
      </c>
      <c r="V19" s="275">
        <f>ROUND(VLOOKUP(MID($E19,4,3),'Wochentag F(WT)'!$B$7:$J$22,V$9,0),4)</f>
        <v>1.018</v>
      </c>
      <c r="W19" s="275">
        <f>ROUND(VLOOKUP(MID($E19,4,3),'Wochentag F(WT)'!$B$7:$J$22,W$9,0),4)</f>
        <v>1.0356000000000001</v>
      </c>
      <c r="X19" s="276">
        <f t="shared" si="2"/>
        <v>1.0106000000000002</v>
      </c>
      <c r="Y19" s="293"/>
      <c r="Z19" s="211"/>
    </row>
    <row r="20" spans="2:26" s="143" customFormat="1">
      <c r="B20" s="144">
        <v>9</v>
      </c>
      <c r="C20" s="145" t="str">
        <f t="shared" si="0"/>
        <v>Stadtwerke Lichtenfels</v>
      </c>
      <c r="D20" s="62" t="s">
        <v>246</v>
      </c>
      <c r="E20" s="165" t="s">
        <v>670</v>
      </c>
      <c r="F20" s="297" t="str">
        <f>VLOOKUP($E20,'BDEW-Standard'!$B$3:$M$94,F$9,0)</f>
        <v>WA4</v>
      </c>
      <c r="H20" s="274">
        <f>ROUND(VLOOKUP($E20,'BDEW-Standard'!$B$3:$M$94,H$9,0),7)</f>
        <v>1.0535874999999999</v>
      </c>
      <c r="I20" s="274">
        <f>ROUND(VLOOKUP($E20,'BDEW-Standard'!$B$3:$M$94,I$9,0),7)</f>
        <v>-35.299999999999997</v>
      </c>
      <c r="J20" s="274">
        <f>ROUND(VLOOKUP($E20,'BDEW-Standard'!$B$3:$M$94,J$9,0),7)</f>
        <v>4.8662747</v>
      </c>
      <c r="K20" s="274">
        <f>ROUND(VLOOKUP($E20,'BDEW-Standard'!$B$3:$M$94,K$9,0),7)</f>
        <v>0.68110420000000005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1.0844348950990992</v>
      </c>
      <c r="R20" s="275">
        <f>ROUND(VLOOKUP(MID($E20,4,3),'Wochentag F(WT)'!$B$7:$J$22,R$9,0),4)</f>
        <v>1.2457</v>
      </c>
      <c r="S20" s="275">
        <f>ROUND(VLOOKUP(MID($E20,4,3),'Wochentag F(WT)'!$B$7:$J$22,S$9,0),4)</f>
        <v>1.2615000000000001</v>
      </c>
      <c r="T20" s="275">
        <f>ROUND(VLOOKUP(MID($E20,4,3),'Wochentag F(WT)'!$B$7:$J$22,T$9,0),4)</f>
        <v>1.2706999999999999</v>
      </c>
      <c r="U20" s="275">
        <f>ROUND(VLOOKUP(MID($E20,4,3),'Wochentag F(WT)'!$B$7:$J$22,U$9,0),4)</f>
        <v>1.2430000000000001</v>
      </c>
      <c r="V20" s="275">
        <f>ROUND(VLOOKUP(MID($E20,4,3),'Wochentag F(WT)'!$B$7:$J$22,V$9,0),4)</f>
        <v>1.1275999999999999</v>
      </c>
      <c r="W20" s="275">
        <f>ROUND(VLOOKUP(MID($E20,4,3),'Wochentag F(WT)'!$B$7:$J$22,W$9,0),4)</f>
        <v>0.38769999999999999</v>
      </c>
      <c r="X20" s="276">
        <f t="shared" si="2"/>
        <v>0.46379999999999999</v>
      </c>
      <c r="Y20" s="293"/>
      <c r="Z20" s="211"/>
    </row>
    <row r="21" spans="2:26" s="143" customFormat="1">
      <c r="B21" s="144">
        <v>10</v>
      </c>
      <c r="C21" s="145" t="str">
        <f t="shared" si="0"/>
        <v>Stadtwerke Lichtenfels</v>
      </c>
      <c r="D21" s="62" t="s">
        <v>246</v>
      </c>
      <c r="E21" s="165" t="s">
        <v>671</v>
      </c>
      <c r="F21" s="297" t="str">
        <f>VLOOKUP($E21,'BDEW-Standard'!$B$3:$M$94,F$9,0)</f>
        <v>HD4</v>
      </c>
      <c r="H21" s="274">
        <f>ROUND(VLOOKUP($E21,'BDEW-Standard'!$B$3:$M$94,H$9,0),7)</f>
        <v>3.0084346000000002</v>
      </c>
      <c r="I21" s="274">
        <f>ROUND(VLOOKUP($E21,'BDEW-Standard'!$B$3:$M$94,I$9,0),7)</f>
        <v>-36.607845300000001</v>
      </c>
      <c r="J21" s="274">
        <f>ROUND(VLOOKUP($E21,'BDEW-Standard'!$B$3:$M$94,J$9,0),7)</f>
        <v>7.3211870000000001</v>
      </c>
      <c r="K21" s="274">
        <f>ROUND(VLOOKUP($E21,'BDEW-Standard'!$B$3:$M$94,K$9,0),7)</f>
        <v>0.15496599999999999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0.97302438504000599</v>
      </c>
      <c r="R21" s="275">
        <f>ROUND(VLOOKUP(MID($E21,4,3),'Wochentag F(WT)'!$B$7:$J$22,R$9,0),4)</f>
        <v>1.03</v>
      </c>
      <c r="S21" s="275">
        <f>ROUND(VLOOKUP(MID($E21,4,3),'Wochentag F(WT)'!$B$7:$J$22,S$9,0),4)</f>
        <v>1.03</v>
      </c>
      <c r="T21" s="275">
        <f>ROUND(VLOOKUP(MID($E21,4,3),'Wochentag F(WT)'!$B$7:$J$22,T$9,0),4)</f>
        <v>1.02</v>
      </c>
      <c r="U21" s="275">
        <f>ROUND(VLOOKUP(MID($E21,4,3),'Wochentag F(WT)'!$B$7:$J$22,U$9,0),4)</f>
        <v>1.03</v>
      </c>
      <c r="V21" s="275">
        <f>ROUND(VLOOKUP(MID($E21,4,3),'Wochentag F(WT)'!$B$7:$J$22,V$9,0),4)</f>
        <v>1.01</v>
      </c>
      <c r="W21" s="275">
        <f>ROUND(VLOOKUP(MID($E21,4,3),'Wochentag F(WT)'!$B$7:$J$22,W$9,0),4)</f>
        <v>0.93</v>
      </c>
      <c r="X21" s="276">
        <f t="shared" si="2"/>
        <v>0.95000000000000018</v>
      </c>
      <c r="Y21" s="293"/>
      <c r="Z21" s="211"/>
    </row>
    <row r="22" spans="2:26" s="143" customFormat="1">
      <c r="B22" s="144">
        <v>11</v>
      </c>
      <c r="C22" s="145" t="str">
        <f t="shared" si="0"/>
        <v>Stadtwerke Lichtenfels</v>
      </c>
      <c r="D22" s="62" t="s">
        <v>246</v>
      </c>
      <c r="E22" s="165" t="s">
        <v>672</v>
      </c>
      <c r="F22" s="297" t="str">
        <f>VLOOKUP($E22,'BDEW-Standard'!$B$3:$M$94,F$9,0)</f>
        <v>GB4</v>
      </c>
      <c r="H22" s="274">
        <f>ROUND(VLOOKUP($E22,'BDEW-Standard'!$B$3:$M$94,H$9,0),7)</f>
        <v>3.6017736</v>
      </c>
      <c r="I22" s="274">
        <f>ROUND(VLOOKUP($E22,'BDEW-Standard'!$B$3:$M$94,I$9,0),7)</f>
        <v>-37.882536799999997</v>
      </c>
      <c r="J22" s="274">
        <f>ROUND(VLOOKUP($E22,'BDEW-Standard'!$B$3:$M$94,J$9,0),7)</f>
        <v>6.9836070000000001</v>
      </c>
      <c r="K22" s="274">
        <f>ROUND(VLOOKUP($E22,'BDEW-Standard'!$B$3:$M$94,K$9,0),7)</f>
        <v>5.4826199999999999E-2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0.90239375975311864</v>
      </c>
      <c r="R22" s="275">
        <f>ROUND(VLOOKUP(MID($E22,4,3),'Wochentag F(WT)'!$B$7:$J$22,R$9,0),4)</f>
        <v>0.98970000000000002</v>
      </c>
      <c r="S22" s="275">
        <f>ROUND(VLOOKUP(MID($E22,4,3),'Wochentag F(WT)'!$B$7:$J$22,S$9,0),4)</f>
        <v>0.9627</v>
      </c>
      <c r="T22" s="275">
        <f>ROUND(VLOOKUP(MID($E22,4,3),'Wochentag F(WT)'!$B$7:$J$22,T$9,0),4)</f>
        <v>1.0507</v>
      </c>
      <c r="U22" s="275">
        <f>ROUND(VLOOKUP(MID($E22,4,3),'Wochentag F(WT)'!$B$7:$J$22,U$9,0),4)</f>
        <v>1.0551999999999999</v>
      </c>
      <c r="V22" s="275">
        <f>ROUND(VLOOKUP(MID($E22,4,3),'Wochentag F(WT)'!$B$7:$J$22,V$9,0),4)</f>
        <v>1.0297000000000001</v>
      </c>
      <c r="W22" s="275">
        <f>ROUND(VLOOKUP(MID($E22,4,3),'Wochentag F(WT)'!$B$7:$J$22,W$9,0),4)</f>
        <v>0.97670000000000001</v>
      </c>
      <c r="X22" s="276">
        <f t="shared" si="2"/>
        <v>0.9352999999999998</v>
      </c>
      <c r="Y22" s="293"/>
      <c r="Z22" s="211"/>
    </row>
    <row r="23" spans="2:26" s="143" customFormat="1">
      <c r="B23" s="144">
        <v>12</v>
      </c>
      <c r="C23" s="145" t="str">
        <f t="shared" si="0"/>
        <v>Stadtwerke Lichtenfels</v>
      </c>
      <c r="D23" s="62" t="s">
        <v>246</v>
      </c>
      <c r="E23" s="165" t="s">
        <v>673</v>
      </c>
      <c r="F23" s="297" t="str">
        <f>VLOOKUP($E23,'BDEW-Standard'!$B$3:$M$94,F$9,0)</f>
        <v>PD4</v>
      </c>
      <c r="H23" s="274">
        <f>ROUND(VLOOKUP($E23,'BDEW-Standard'!$B$3:$M$94,H$9,0),7)</f>
        <v>3.85</v>
      </c>
      <c r="I23" s="274">
        <f>ROUND(VLOOKUP($E23,'BDEW-Standard'!$B$3:$M$94,I$9,0),7)</f>
        <v>-37</v>
      </c>
      <c r="J23" s="274">
        <f>ROUND(VLOOKUP($E23,'BDEW-Standard'!$B$3:$M$94,J$9,0),7)</f>
        <v>10.2405021</v>
      </c>
      <c r="K23" s="274">
        <f>ROUND(VLOOKUP($E23,'BDEW-Standard'!$B$3:$M$94,K$9,0),7)</f>
        <v>4.6924300000000002E-2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0.75691065279879233</v>
      </c>
      <c r="R23" s="275">
        <f>ROUND(VLOOKUP(MID($E23,4,3),'Wochentag F(WT)'!$B$7:$J$22,R$9,0),4)</f>
        <v>1.0214000000000001</v>
      </c>
      <c r="S23" s="275">
        <f>ROUND(VLOOKUP(MID($E23,4,3),'Wochentag F(WT)'!$B$7:$J$22,S$9,0),4)</f>
        <v>1.0866</v>
      </c>
      <c r="T23" s="275">
        <f>ROUND(VLOOKUP(MID($E23,4,3),'Wochentag F(WT)'!$B$7:$J$22,T$9,0),4)</f>
        <v>1.0720000000000001</v>
      </c>
      <c r="U23" s="275">
        <f>ROUND(VLOOKUP(MID($E23,4,3),'Wochentag F(WT)'!$B$7:$J$22,U$9,0),4)</f>
        <v>1.0557000000000001</v>
      </c>
      <c r="V23" s="275">
        <f>ROUND(VLOOKUP(MID($E23,4,3),'Wochentag F(WT)'!$B$7:$J$22,V$9,0),4)</f>
        <v>1.0117</v>
      </c>
      <c r="W23" s="275">
        <f>ROUND(VLOOKUP(MID($E23,4,3),'Wochentag F(WT)'!$B$7:$J$22,W$9,0),4)</f>
        <v>0.90010000000000001</v>
      </c>
      <c r="X23" s="276">
        <f t="shared" si="2"/>
        <v>0.85249999999999915</v>
      </c>
      <c r="Y23" s="293"/>
      <c r="Z23" s="211"/>
    </row>
    <row r="24" spans="2:26" s="143" customFormat="1">
      <c r="B24" s="144">
        <v>13</v>
      </c>
      <c r="C24" s="145" t="str">
        <f t="shared" si="0"/>
        <v>Stadtwerke Lichtenfels</v>
      </c>
      <c r="D24" s="62" t="s">
        <v>246</v>
      </c>
      <c r="E24" s="165" t="s">
        <v>674</v>
      </c>
      <c r="F24" s="297" t="str">
        <f>VLOOKUP($E24,'BDEW-Standard'!$B$3:$M$94,F$9,0)</f>
        <v>MF4</v>
      </c>
      <c r="H24" s="274">
        <f>ROUND(VLOOKUP($E24,'BDEW-Standard'!$B$3:$M$94,H$9,0),7)</f>
        <v>2.5187775000000001</v>
      </c>
      <c r="I24" s="274">
        <f>ROUND(VLOOKUP($E24,'BDEW-Standard'!$B$3:$M$94,I$9,0),7)</f>
        <v>-35.033375399999997</v>
      </c>
      <c r="J24" s="274">
        <f>ROUND(VLOOKUP($E24,'BDEW-Standard'!$B$3:$M$94,J$9,0),7)</f>
        <v>6.2240634000000004</v>
      </c>
      <c r="K24" s="274">
        <f>ROUND(VLOOKUP($E24,'BDEW-Standard'!$B$3:$M$94,K$9,0),7)</f>
        <v>0.10107820000000001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1.0146273685996503</v>
      </c>
      <c r="R24" s="275">
        <f>ROUND(VLOOKUP(MID($E24,4,3),'Wochentag F(WT)'!$B$7:$J$22,R$9,0),4)</f>
        <v>1.0354000000000001</v>
      </c>
      <c r="S24" s="275">
        <f>ROUND(VLOOKUP(MID($E24,4,3),'Wochentag F(WT)'!$B$7:$J$22,S$9,0),4)</f>
        <v>1.0523</v>
      </c>
      <c r="T24" s="275">
        <f>ROUND(VLOOKUP(MID($E24,4,3),'Wochentag F(WT)'!$B$7:$J$22,T$9,0),4)</f>
        <v>1.0448999999999999</v>
      </c>
      <c r="U24" s="275">
        <f>ROUND(VLOOKUP(MID($E24,4,3),'Wochentag F(WT)'!$B$7:$J$22,U$9,0),4)</f>
        <v>1.0494000000000001</v>
      </c>
      <c r="V24" s="275">
        <f>ROUND(VLOOKUP(MID($E24,4,3),'Wochentag F(WT)'!$B$7:$J$22,V$9,0),4)</f>
        <v>0.98850000000000005</v>
      </c>
      <c r="W24" s="275">
        <f>ROUND(VLOOKUP(MID($E24,4,3),'Wochentag F(WT)'!$B$7:$J$22,W$9,0),4)</f>
        <v>0.88600000000000001</v>
      </c>
      <c r="X24" s="276">
        <f t="shared" si="2"/>
        <v>0.94349999999999934</v>
      </c>
      <c r="Y24" s="293"/>
      <c r="Z24" s="211"/>
    </row>
    <row r="25" spans="2:26" s="143" customFormat="1">
      <c r="B25" s="144">
        <v>14</v>
      </c>
      <c r="C25" s="145" t="str">
        <f t="shared" si="0"/>
        <v>Stadtwerke Lichtenfels</v>
      </c>
      <c r="D25" s="62" t="s">
        <v>246</v>
      </c>
      <c r="E25" s="165" t="s">
        <v>675</v>
      </c>
      <c r="F25" s="297" t="str">
        <f>VLOOKUP($E25,'BDEW-Standard'!$B$3:$M$94,F$9,0)</f>
        <v>KO4</v>
      </c>
      <c r="H25" s="274">
        <f>ROUND(VLOOKUP($E25,'BDEW-Standard'!$B$3:$M$94,H$9,0),7)</f>
        <v>3.4428942999999999</v>
      </c>
      <c r="I25" s="274">
        <f>ROUND(VLOOKUP($E25,'BDEW-Standard'!$B$3:$M$94,I$9,0),7)</f>
        <v>-36.659050399999998</v>
      </c>
      <c r="J25" s="274">
        <f>ROUND(VLOOKUP($E25,'BDEW-Standard'!$B$3:$M$94,J$9,0),7)</f>
        <v>7.6083226000000002</v>
      </c>
      <c r="K25" s="274">
        <f>ROUND(VLOOKUP($E25,'BDEW-Standard'!$B$3:$M$94,K$9,0),7)</f>
        <v>7.4685000000000001E-2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0.97768382110526542</v>
      </c>
      <c r="R25" s="275">
        <f>ROUND(VLOOKUP(MID($E25,4,3),'Wochentag F(WT)'!$B$7:$J$22,R$9,0),4)</f>
        <v>1.0354000000000001</v>
      </c>
      <c r="S25" s="275">
        <f>ROUND(VLOOKUP(MID($E25,4,3),'Wochentag F(WT)'!$B$7:$J$22,S$9,0),4)</f>
        <v>1.0523</v>
      </c>
      <c r="T25" s="275">
        <f>ROUND(VLOOKUP(MID($E25,4,3),'Wochentag F(WT)'!$B$7:$J$22,T$9,0),4)</f>
        <v>1.0448999999999999</v>
      </c>
      <c r="U25" s="275">
        <f>ROUND(VLOOKUP(MID($E25,4,3),'Wochentag F(WT)'!$B$7:$J$22,U$9,0),4)</f>
        <v>1.0494000000000001</v>
      </c>
      <c r="V25" s="275">
        <f>ROUND(VLOOKUP(MID($E25,4,3),'Wochentag F(WT)'!$B$7:$J$22,V$9,0),4)</f>
        <v>0.98850000000000005</v>
      </c>
      <c r="W25" s="275">
        <f>ROUND(VLOOKUP(MID($E25,4,3),'Wochentag F(WT)'!$B$7:$J$22,W$9,0),4)</f>
        <v>0.88600000000000001</v>
      </c>
      <c r="X25" s="276">
        <f t="shared" si="2"/>
        <v>0.94349999999999934</v>
      </c>
      <c r="Y25" s="293"/>
      <c r="Z25" s="211"/>
    </row>
    <row r="26" spans="2:26" s="143" customFormat="1">
      <c r="B26" s="144"/>
      <c r="C26" s="145"/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/>
      <c r="C27" s="145"/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/>
      <c r="C28" s="145"/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/>
      <c r="C29" s="145"/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/>
      <c r="C30" s="145"/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/>
      <c r="C31" s="145"/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/>
      <c r="C32" s="145"/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/>
      <c r="C33" s="145"/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/>
      <c r="C34" s="145"/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/>
      <c r="C35" s="145"/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/>
      <c r="C36" s="145"/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/>
      <c r="C37" s="145"/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/>
      <c r="C38" s="145"/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/>
      <c r="C39" s="145"/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/>
      <c r="C40" s="145"/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/>
      <c r="C41" s="145"/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M11:P11 R11:Y11 H11:K11 H14:K41 R14:Y41 M14:P41 Y12:Y13">
    <cfRule type="expression" dxfId="17" priority="17">
      <formula>ISERROR(F11)</formula>
    </cfRule>
  </conditionalFormatting>
  <conditionalFormatting sqref="E14:F41 Y12:Y41 F12:F13">
    <cfRule type="duplicateValues" dxfId="16" priority="39"/>
  </conditionalFormatting>
  <conditionalFormatting sqref="L11 L14:L41">
    <cfRule type="expression" dxfId="15" priority="8">
      <formula>ISERROR(L11)</formula>
    </cfRule>
  </conditionalFormatting>
  <conditionalFormatting sqref="Q11 Q14:Q41">
    <cfRule type="expression" dxfId="14" priority="7">
      <formula>ISERROR(Q11)</formula>
    </cfRule>
  </conditionalFormatting>
  <conditionalFormatting sqref="M12:P12 R12:X12 H12:K12">
    <cfRule type="expression" dxfId="13" priority="6">
      <formula>ISERROR(H12)</formula>
    </cfRule>
  </conditionalFormatting>
  <conditionalFormatting sqref="L12">
    <cfRule type="expression" dxfId="12" priority="5">
      <formula>ISERROR(L12)</formula>
    </cfRule>
  </conditionalFormatting>
  <conditionalFormatting sqref="Q12">
    <cfRule type="expression" dxfId="11" priority="4">
      <formula>ISERROR(Q12)</formula>
    </cfRule>
  </conditionalFormatting>
  <conditionalFormatting sqref="M13:P13 R13:X13 H13:K13">
    <cfRule type="expression" dxfId="10" priority="3">
      <formula>ISERROR(H13)</formula>
    </cfRule>
  </conditionalFormatting>
  <conditionalFormatting sqref="L13">
    <cfRule type="expression" dxfId="9" priority="2">
      <formula>ISERROR(L13)</formula>
    </cfRule>
  </conditionalFormatting>
  <conditionalFormatting sqref="Q13">
    <cfRule type="expression" dxfId="8" priority="1">
      <formula>ISERROR(Q13)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 L12:L13" formula="1"/>
    <ignoredError sqref="F14:F25 H14:K25 C13:C25 M14:X25" unlockedFormula="1"/>
    <ignoredError sqref="L14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0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9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 E13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 E14:E26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tabSelected="1" zoomScale="80" zoomScaleNormal="80" workbookViewId="0">
      <selection activeCell="F17" sqref="F1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Stadtwerke Lichtenfels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Stadtwerke Lichtenfels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9870011800009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64" t="s">
        <v>460</v>
      </c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355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369" t="s">
        <v>583</v>
      </c>
      <c r="C10" s="370"/>
      <c r="D10" s="94">
        <v>2</v>
      </c>
      <c r="E10" s="95" t="str">
        <f>IF(ISERROR(HLOOKUP(E$11,$M$9:$AD$33,$D10,0)),"",HLOOKUP(E$11,$M$9:$AD$33,$D10,0))</f>
        <v/>
      </c>
      <c r="F10" s="367" t="s">
        <v>397</v>
      </c>
      <c r="G10" s="367"/>
      <c r="H10" s="367"/>
      <c r="I10" s="367"/>
      <c r="J10" s="367"/>
      <c r="K10" s="367"/>
      <c r="L10" s="36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356" t="s">
        <v>483</v>
      </c>
      <c r="AA10" s="99" t="s">
        <v>484</v>
      </c>
      <c r="AB10" s="99" t="s">
        <v>485</v>
      </c>
      <c r="AC10" s="100" t="s">
        <v>486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357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4">
        <f>MIN(SUMPRODUCT($M$11:$AD$11,M12:AD12),1)</f>
        <v>1</v>
      </c>
      <c r="F12" s="301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358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399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54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359">
        <v>1</v>
      </c>
      <c r="AA13" s="119"/>
      <c r="AB13" s="119">
        <v>1</v>
      </c>
      <c r="AC13" s="120"/>
      <c r="AD13" s="69"/>
    </row>
    <row r="14" spans="2:30" ht="15">
      <c r="B14" s="116" t="s">
        <v>400</v>
      </c>
      <c r="C14" s="117"/>
      <c r="D14" s="111">
        <v>6</v>
      </c>
      <c r="E14" s="305">
        <f t="shared" si="0"/>
        <v>0</v>
      </c>
      <c r="F14" s="302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359"/>
      <c r="AA14" s="119"/>
      <c r="AB14" s="119"/>
      <c r="AC14" s="120"/>
      <c r="AD14" s="69"/>
    </row>
    <row r="15" spans="2:30" ht="15">
      <c r="B15" s="116" t="s">
        <v>402</v>
      </c>
      <c r="C15" s="117"/>
      <c r="D15" s="111">
        <v>7</v>
      </c>
      <c r="E15" s="305">
        <f t="shared" si="0"/>
        <v>0</v>
      </c>
      <c r="F15" s="302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359"/>
      <c r="AA15" s="119"/>
      <c r="AB15" s="119"/>
      <c r="AC15" s="120"/>
      <c r="AD15" s="69"/>
    </row>
    <row r="16" spans="2:30" ht="15">
      <c r="B16" s="121" t="s">
        <v>414</v>
      </c>
      <c r="C16" s="117"/>
      <c r="D16" s="111">
        <v>8</v>
      </c>
      <c r="E16" s="305">
        <f t="shared" si="0"/>
        <v>1</v>
      </c>
      <c r="F16" s="302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35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415</v>
      </c>
      <c r="C17" s="117"/>
      <c r="D17" s="111">
        <v>9</v>
      </c>
      <c r="E17" s="305">
        <f t="shared" si="0"/>
        <v>1</v>
      </c>
      <c r="F17" s="302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35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416</v>
      </c>
      <c r="C18" s="117"/>
      <c r="D18" s="111">
        <v>10</v>
      </c>
      <c r="E18" s="305">
        <f t="shared" si="0"/>
        <v>1</v>
      </c>
      <c r="F18" s="302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35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403</v>
      </c>
      <c r="C19" s="117"/>
      <c r="D19" s="111">
        <v>11</v>
      </c>
      <c r="E19" s="305">
        <f t="shared" si="0"/>
        <v>1</v>
      </c>
      <c r="F19" s="302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35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649</v>
      </c>
      <c r="C20" s="117"/>
      <c r="D20" s="111">
        <v>12</v>
      </c>
      <c r="E20" s="305">
        <f t="shared" si="0"/>
        <v>1</v>
      </c>
      <c r="F20" s="302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35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417</v>
      </c>
      <c r="C21" s="117"/>
      <c r="D21" s="111">
        <v>13</v>
      </c>
      <c r="E21" s="305">
        <f t="shared" si="0"/>
        <v>1</v>
      </c>
      <c r="F21" s="302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35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418</v>
      </c>
      <c r="C22" s="117"/>
      <c r="D22" s="111">
        <v>14</v>
      </c>
      <c r="E22" s="305">
        <f t="shared" si="0"/>
        <v>1</v>
      </c>
      <c r="F22" s="302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35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419</v>
      </c>
      <c r="C23" s="117"/>
      <c r="D23" s="111">
        <v>15</v>
      </c>
      <c r="E23" s="305">
        <f t="shared" si="0"/>
        <v>1</v>
      </c>
      <c r="F23" s="302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359">
        <v>1</v>
      </c>
      <c r="AA23" s="119"/>
      <c r="AB23" s="119"/>
      <c r="AC23" s="120"/>
      <c r="AD23" s="69"/>
    </row>
    <row r="24" spans="2:30" ht="15">
      <c r="B24" s="116" t="s">
        <v>404</v>
      </c>
      <c r="C24" s="117"/>
      <c r="D24" s="111">
        <v>16</v>
      </c>
      <c r="E24" s="305">
        <f t="shared" si="0"/>
        <v>0</v>
      </c>
      <c r="F24" s="302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359"/>
      <c r="AA24" s="119"/>
      <c r="AB24" s="119"/>
      <c r="AC24" s="120"/>
      <c r="AD24" s="69"/>
    </row>
    <row r="25" spans="2:30" ht="15">
      <c r="B25" s="116" t="s">
        <v>405</v>
      </c>
      <c r="C25" s="117"/>
      <c r="D25" s="111">
        <v>17</v>
      </c>
      <c r="E25" s="305">
        <f t="shared" si="0"/>
        <v>1</v>
      </c>
      <c r="F25" s="302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359">
        <v>1</v>
      </c>
      <c r="AA25" s="119"/>
      <c r="AB25" s="119"/>
      <c r="AC25" s="120"/>
      <c r="AD25" s="69"/>
    </row>
    <row r="26" spans="2:30" ht="15">
      <c r="B26" s="121" t="s">
        <v>406</v>
      </c>
      <c r="C26" s="117"/>
      <c r="D26" s="111">
        <v>18</v>
      </c>
      <c r="E26" s="305">
        <f t="shared" si="0"/>
        <v>1</v>
      </c>
      <c r="F26" s="302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35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407</v>
      </c>
      <c r="C27" s="117"/>
      <c r="D27" s="111">
        <v>19</v>
      </c>
      <c r="E27" s="305">
        <f t="shared" si="0"/>
        <v>0</v>
      </c>
      <c r="F27" s="302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35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408</v>
      </c>
      <c r="C28" s="117"/>
      <c r="D28" s="111">
        <v>20</v>
      </c>
      <c r="E28" s="305">
        <f t="shared" si="0"/>
        <v>1</v>
      </c>
      <c r="F28" s="302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359">
        <v>1</v>
      </c>
      <c r="AA28" s="119"/>
      <c r="AB28" s="119"/>
      <c r="AC28" s="120"/>
      <c r="AD28" s="69"/>
    </row>
    <row r="29" spans="2:30" ht="15">
      <c r="B29" s="116" t="s">
        <v>409</v>
      </c>
      <c r="C29" s="117"/>
      <c r="D29" s="111">
        <v>21</v>
      </c>
      <c r="E29" s="305">
        <f t="shared" si="0"/>
        <v>0</v>
      </c>
      <c r="F29" s="302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359"/>
      <c r="AA29" s="119"/>
      <c r="AB29" s="119"/>
      <c r="AC29" s="120"/>
      <c r="AD29" s="69"/>
    </row>
    <row r="30" spans="2:30" ht="15">
      <c r="B30" s="116" t="s">
        <v>410</v>
      </c>
      <c r="C30" s="117"/>
      <c r="D30" s="111">
        <v>22</v>
      </c>
      <c r="E30" s="305">
        <f t="shared" si="0"/>
        <v>0</v>
      </c>
      <c r="F30" s="302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359"/>
      <c r="AA30" s="119"/>
      <c r="AB30" s="119"/>
      <c r="AC30" s="120"/>
      <c r="AD30" s="69"/>
    </row>
    <row r="31" spans="2:30" ht="15">
      <c r="B31" s="121" t="s">
        <v>411</v>
      </c>
      <c r="C31" s="117"/>
      <c r="D31" s="111">
        <v>23</v>
      </c>
      <c r="E31" s="305">
        <f t="shared" si="0"/>
        <v>1</v>
      </c>
      <c r="F31" s="302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35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412</v>
      </c>
      <c r="C32" s="117"/>
      <c r="D32" s="111">
        <v>24</v>
      </c>
      <c r="E32" s="305">
        <f t="shared" si="0"/>
        <v>1</v>
      </c>
      <c r="F32" s="302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35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413</v>
      </c>
      <c r="C33" s="123"/>
      <c r="D33" s="124">
        <v>25</v>
      </c>
      <c r="E33" s="306">
        <f t="shared" si="0"/>
        <v>0</v>
      </c>
      <c r="F33" s="303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360"/>
      <c r="AA33" s="126"/>
      <c r="AB33" s="126"/>
      <c r="AC33" s="127"/>
      <c r="AD33" s="70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346</v>
      </c>
      <c r="B1" s="213">
        <v>42173</v>
      </c>
      <c r="D1" s="131" t="s">
        <v>456</v>
      </c>
      <c r="F1" s="214" t="s">
        <v>545</v>
      </c>
      <c r="N1" s="215"/>
    </row>
    <row r="2" spans="1:14" ht="25.5">
      <c r="A2" s="216" t="s">
        <v>270</v>
      </c>
      <c r="B2" s="217" t="s">
        <v>145</v>
      </c>
      <c r="C2" s="218" t="s">
        <v>147</v>
      </c>
      <c r="D2" s="219" t="s">
        <v>148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69</v>
      </c>
      <c r="J2" s="220" t="s">
        <v>149</v>
      </c>
      <c r="K2" s="220" t="s">
        <v>150</v>
      </c>
      <c r="L2" s="220" t="s">
        <v>151</v>
      </c>
      <c r="M2" s="222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152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153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154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155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156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157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158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159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160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161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652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162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163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164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165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166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167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168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169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170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171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172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173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174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175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176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177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178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179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180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181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182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183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184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185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186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187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188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189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190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191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192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193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194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195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196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197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198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199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200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201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202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203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204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205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206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207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208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209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210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211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212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213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214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215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216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217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218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219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220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221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222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223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224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225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226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227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228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229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230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231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232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233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234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235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236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237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238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239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240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241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242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2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244</v>
      </c>
      <c r="B96" s="128" t="s">
        <v>54</v>
      </c>
      <c r="C96" s="128" t="s">
        <v>321</v>
      </c>
      <c r="D96" s="232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244</v>
      </c>
      <c r="B97" s="128" t="s">
        <v>59</v>
      </c>
      <c r="C97" s="128" t="s">
        <v>326</v>
      </c>
      <c r="D97" s="232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244</v>
      </c>
      <c r="B98" s="128" t="s">
        <v>64</v>
      </c>
      <c r="C98" s="128" t="s">
        <v>331</v>
      </c>
      <c r="D98" s="232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244</v>
      </c>
      <c r="B99" s="128" t="s">
        <v>17</v>
      </c>
      <c r="C99" s="128" t="s">
        <v>284</v>
      </c>
      <c r="D99" s="232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2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2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2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2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2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2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2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2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2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2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2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2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2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2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2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2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2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2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2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2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2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2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2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2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2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2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2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2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2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2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2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2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2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2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2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2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2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2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2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2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2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2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2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2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2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2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2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2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2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2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2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2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2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2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2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2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2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2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2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2578125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545</v>
      </c>
    </row>
    <row r="2" spans="1:16">
      <c r="A2" s="234"/>
      <c r="B2" s="233" t="s">
        <v>458</v>
      </c>
    </row>
    <row r="3" spans="1:16" ht="20.100000000000001" customHeight="1">
      <c r="A3" s="371" t="s">
        <v>247</v>
      </c>
      <c r="B3" s="235" t="s">
        <v>85</v>
      </c>
      <c r="C3" s="236"/>
      <c r="D3" s="373" t="s">
        <v>459</v>
      </c>
      <c r="E3" s="374"/>
      <c r="F3" s="374"/>
      <c r="G3" s="374"/>
      <c r="H3" s="374"/>
      <c r="I3" s="374"/>
      <c r="J3" s="375"/>
      <c r="K3" s="237"/>
      <c r="L3" s="237"/>
      <c r="M3" s="237"/>
      <c r="N3" s="237"/>
      <c r="O3" s="238"/>
      <c r="P3" s="237"/>
    </row>
    <row r="4" spans="1:16" ht="20.100000000000001" customHeight="1">
      <c r="A4" s="372"/>
      <c r="B4" s="239"/>
      <c r="C4" s="240"/>
      <c r="D4" s="241" t="s">
        <v>86</v>
      </c>
      <c r="E4" s="241" t="s">
        <v>87</v>
      </c>
      <c r="F4" s="241" t="s">
        <v>88</v>
      </c>
      <c r="G4" s="241" t="s">
        <v>89</v>
      </c>
      <c r="H4" s="241" t="s">
        <v>90</v>
      </c>
      <c r="I4" s="241" t="s">
        <v>91</v>
      </c>
      <c r="J4" s="241" t="s">
        <v>92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93</v>
      </c>
      <c r="C5" s="240"/>
      <c r="D5" s="241" t="s">
        <v>94</v>
      </c>
      <c r="E5" s="241" t="s">
        <v>95</v>
      </c>
      <c r="F5" s="241" t="s">
        <v>96</v>
      </c>
      <c r="G5" s="241" t="s">
        <v>97</v>
      </c>
      <c r="H5" s="241" t="s">
        <v>98</v>
      </c>
      <c r="I5" s="241" t="s">
        <v>99</v>
      </c>
      <c r="J5" s="241" t="s">
        <v>100</v>
      </c>
      <c r="K5" s="241" t="s">
        <v>101</v>
      </c>
      <c r="L5" s="242" t="s">
        <v>102</v>
      </c>
      <c r="M5" s="242" t="s">
        <v>103</v>
      </c>
      <c r="N5" s="244" t="s">
        <v>146</v>
      </c>
      <c r="O5" s="244" t="s">
        <v>249</v>
      </c>
      <c r="P5" s="245" t="s">
        <v>248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104</v>
      </c>
      <c r="C7" s="249" t="s">
        <v>105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101</v>
      </c>
      <c r="M7" s="251">
        <f t="shared" ref="M7:M21" si="0">MAX(D7:J7)</f>
        <v>1</v>
      </c>
      <c r="N7" s="252" t="s">
        <v>367</v>
      </c>
      <c r="O7" s="247"/>
      <c r="P7" s="241"/>
    </row>
    <row r="8" spans="1:16" ht="21" customHeight="1">
      <c r="A8" s="248">
        <v>2</v>
      </c>
      <c r="B8" s="241" t="s">
        <v>106</v>
      </c>
      <c r="C8" s="249" t="s">
        <v>107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101</v>
      </c>
      <c r="M8" s="251">
        <f t="shared" si="0"/>
        <v>1</v>
      </c>
      <c r="N8" s="252" t="s">
        <v>367</v>
      </c>
      <c r="O8" s="247"/>
      <c r="P8" s="241"/>
    </row>
    <row r="9" spans="1:16" ht="21" customHeight="1">
      <c r="A9" s="248">
        <v>3</v>
      </c>
      <c r="B9" s="241" t="s">
        <v>245</v>
      </c>
      <c r="C9" s="253" t="s">
        <v>4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101</v>
      </c>
      <c r="M9" s="251">
        <f t="shared" ref="M9" si="1">MAX(D9:J9)</f>
        <v>1</v>
      </c>
      <c r="N9" s="252" t="s">
        <v>4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108</v>
      </c>
      <c r="C11" s="257" t="s">
        <v>109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95</v>
      </c>
      <c r="M11" s="251">
        <f t="shared" si="0"/>
        <v>1.0522626697461936</v>
      </c>
      <c r="N11" s="252" t="s">
        <v>252</v>
      </c>
      <c r="O11" s="247" t="s">
        <v>250</v>
      </c>
      <c r="P11" s="241"/>
    </row>
    <row r="12" spans="1:16">
      <c r="A12" s="248">
        <v>5</v>
      </c>
      <c r="B12" s="241" t="s">
        <v>110</v>
      </c>
      <c r="C12" s="257" t="s">
        <v>111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94</v>
      </c>
      <c r="M12" s="251">
        <f t="shared" si="0"/>
        <v>1.0358469949391176</v>
      </c>
      <c r="N12" s="252" t="s">
        <v>252</v>
      </c>
      <c r="O12" s="247" t="s">
        <v>250</v>
      </c>
      <c r="P12" s="241"/>
    </row>
    <row r="13" spans="1:16">
      <c r="A13" s="248">
        <v>6</v>
      </c>
      <c r="B13" s="241" t="s">
        <v>112</v>
      </c>
      <c r="C13" s="257" t="s">
        <v>113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94</v>
      </c>
      <c r="M13" s="251">
        <f t="shared" si="0"/>
        <v>1.069856584592316</v>
      </c>
      <c r="N13" s="252" t="s">
        <v>252</v>
      </c>
      <c r="O13" s="247" t="s">
        <v>250</v>
      </c>
      <c r="P13" s="241"/>
    </row>
    <row r="14" spans="1:16" ht="21" customHeight="1">
      <c r="A14" s="248">
        <v>7</v>
      </c>
      <c r="B14" s="241" t="s">
        <v>114</v>
      </c>
      <c r="C14" s="257" t="s">
        <v>115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94</v>
      </c>
      <c r="M14" s="251">
        <f t="shared" si="0"/>
        <v>1.1052461688999999</v>
      </c>
      <c r="N14" s="252" t="s">
        <v>252</v>
      </c>
      <c r="O14" s="247" t="s">
        <v>250</v>
      </c>
      <c r="P14" s="241"/>
    </row>
    <row r="15" spans="1:16" ht="21" customHeight="1">
      <c r="A15" s="248">
        <v>8</v>
      </c>
      <c r="B15" s="241" t="s">
        <v>116</v>
      </c>
      <c r="C15" s="257" t="s">
        <v>117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95</v>
      </c>
      <c r="M15" s="251">
        <f t="shared" si="0"/>
        <v>1.0389446761000001</v>
      </c>
      <c r="N15" s="252" t="s">
        <v>252</v>
      </c>
      <c r="O15" s="247" t="s">
        <v>250</v>
      </c>
      <c r="P15" s="241"/>
    </row>
    <row r="16" spans="1:16" ht="21" customHeight="1">
      <c r="A16" s="248">
        <v>9</v>
      </c>
      <c r="B16" s="241" t="s">
        <v>122</v>
      </c>
      <c r="C16" s="257" t="s">
        <v>123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96</v>
      </c>
      <c r="M16" s="251">
        <f>MAX(D16:J16)</f>
        <v>1.2706602107</v>
      </c>
      <c r="N16" s="252" t="s">
        <v>252</v>
      </c>
      <c r="O16" s="247" t="s">
        <v>250</v>
      </c>
      <c r="P16" s="241"/>
    </row>
    <row r="17" spans="1:16" ht="21" customHeight="1">
      <c r="A17" s="248">
        <v>10</v>
      </c>
      <c r="B17" s="241" t="s">
        <v>118</v>
      </c>
      <c r="C17" s="258" t="s">
        <v>119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99</v>
      </c>
      <c r="M17" s="251">
        <f t="shared" si="0"/>
        <v>1.0355882019</v>
      </c>
      <c r="N17" s="252" t="s">
        <v>252</v>
      </c>
      <c r="O17" s="247" t="s">
        <v>251</v>
      </c>
      <c r="P17" s="241" t="s">
        <v>116</v>
      </c>
    </row>
    <row r="18" spans="1:16" ht="21" customHeight="1">
      <c r="A18" s="248">
        <v>11</v>
      </c>
      <c r="B18" s="241" t="s">
        <v>120</v>
      </c>
      <c r="C18" s="258" t="s">
        <v>121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98</v>
      </c>
      <c r="M18" s="251">
        <f t="shared" si="0"/>
        <v>1.1401797148999999</v>
      </c>
      <c r="N18" s="252" t="s">
        <v>252</v>
      </c>
      <c r="O18" s="247" t="s">
        <v>251</v>
      </c>
      <c r="P18" s="241" t="s">
        <v>122</v>
      </c>
    </row>
    <row r="19" spans="1:16" ht="21" customHeight="1">
      <c r="A19" s="248">
        <v>12</v>
      </c>
      <c r="B19" s="241" t="s">
        <v>124</v>
      </c>
      <c r="C19" s="258" t="s">
        <v>125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97</v>
      </c>
      <c r="M19" s="251">
        <f t="shared" si="0"/>
        <v>1.0552346931000001</v>
      </c>
      <c r="N19" s="252" t="s">
        <v>252</v>
      </c>
      <c r="O19" s="247" t="s">
        <v>251</v>
      </c>
      <c r="P19" s="241" t="s">
        <v>108</v>
      </c>
    </row>
    <row r="20" spans="1:16" ht="21" customHeight="1">
      <c r="A20" s="248">
        <v>13</v>
      </c>
      <c r="B20" s="241" t="s">
        <v>126</v>
      </c>
      <c r="C20" s="258" t="s">
        <v>127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94</v>
      </c>
      <c r="M20" s="251">
        <f t="shared" si="0"/>
        <v>1.0865859003</v>
      </c>
      <c r="N20" s="252" t="s">
        <v>252</v>
      </c>
      <c r="O20" s="247" t="s">
        <v>251</v>
      </c>
      <c r="P20" s="241" t="s">
        <v>110</v>
      </c>
    </row>
    <row r="21" spans="1:16" ht="24.75" customHeight="1">
      <c r="A21" s="248">
        <v>14</v>
      </c>
      <c r="B21" s="241" t="s">
        <v>128</v>
      </c>
      <c r="C21" s="258" t="s">
        <v>129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95</v>
      </c>
      <c r="M21" s="251">
        <f t="shared" si="0"/>
        <v>1.0522626697461936</v>
      </c>
      <c r="N21" s="252" t="s">
        <v>252</v>
      </c>
      <c r="O21" s="247" t="s">
        <v>251</v>
      </c>
      <c r="P21" s="241" t="s">
        <v>116</v>
      </c>
    </row>
    <row r="22" spans="1:16" ht="25.5">
      <c r="A22" s="248">
        <v>15</v>
      </c>
      <c r="B22" s="241" t="s">
        <v>130</v>
      </c>
      <c r="C22" s="259" t="s">
        <v>131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95</v>
      </c>
      <c r="M22" s="251">
        <f>MAX(D22:J22)</f>
        <v>1.03</v>
      </c>
      <c r="N22" s="252" t="s">
        <v>252</v>
      </c>
      <c r="O22" s="247" t="s">
        <v>251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Carmen Walther</cp:lastModifiedBy>
  <cp:lastPrinted>2015-12-11T11:37:18Z</cp:lastPrinted>
  <dcterms:created xsi:type="dcterms:W3CDTF">2015-01-15T05:25:41Z</dcterms:created>
  <dcterms:modified xsi:type="dcterms:W3CDTF">2018-12-12T15:56:04Z</dcterms:modified>
</cp:coreProperties>
</file>